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ust expts" sheetId="1" r:id="rId1"/>
    <sheet name="Gypsum dissolution tes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I86" i="1" l="1"/>
  <c r="AI85" i="1"/>
  <c r="AI84" i="1"/>
  <c r="AI83" i="1"/>
  <c r="AI82" i="1"/>
  <c r="AI81" i="1"/>
  <c r="AL86" i="1"/>
  <c r="AL85" i="1"/>
  <c r="AL84" i="1"/>
  <c r="AL83" i="1"/>
  <c r="AL82" i="1"/>
  <c r="AL81" i="1"/>
  <c r="L79" i="1" l="1"/>
  <c r="T79" i="1"/>
  <c r="L80" i="1"/>
  <c r="T80" i="1"/>
  <c r="T81" i="1" s="1"/>
  <c r="T82" i="1" s="1"/>
  <c r="T83" i="1" s="1"/>
  <c r="T84" i="1" s="1"/>
  <c r="T85" i="1" s="1"/>
  <c r="T86" i="1" s="1"/>
  <c r="T87" i="1" s="1"/>
  <c r="L81" i="1"/>
  <c r="L82" i="1"/>
  <c r="L83" i="1"/>
  <c r="L84" i="1"/>
  <c r="L85" i="1"/>
  <c r="L86" i="1"/>
  <c r="L87" i="1"/>
  <c r="D88" i="1"/>
  <c r="M88" i="1" l="1"/>
  <c r="M121" i="1"/>
  <c r="M119" i="1" l="1"/>
  <c r="M117" i="1"/>
  <c r="M115" i="1"/>
  <c r="M113" i="1" l="1"/>
  <c r="M111" i="1"/>
  <c r="P110" i="1" l="1"/>
  <c r="P111" i="1"/>
  <c r="P112" i="1"/>
  <c r="P113" i="1"/>
  <c r="P114" i="1"/>
  <c r="P115" i="1"/>
  <c r="P116" i="1"/>
  <c r="P117" i="1"/>
  <c r="P118" i="1"/>
  <c r="M109" i="1"/>
  <c r="M107" i="1"/>
  <c r="M105" i="1"/>
  <c r="P119" i="1" l="1"/>
  <c r="M127" i="1"/>
  <c r="M128" i="1" s="1"/>
  <c r="M129" i="1" s="1"/>
  <c r="M130" i="1" s="1"/>
  <c r="M131" i="1" s="1"/>
  <c r="M132" i="1" s="1"/>
  <c r="M133" i="1" s="1"/>
  <c r="M134" i="1" s="1"/>
  <c r="M135" i="1" s="1"/>
  <c r="M123" i="1"/>
  <c r="D96" i="1" l="1"/>
  <c r="T98" i="1" l="1"/>
  <c r="T99" i="1" s="1"/>
  <c r="T100" i="1" s="1"/>
  <c r="T101" i="1" s="1"/>
  <c r="T102" i="1" s="1"/>
  <c r="T103" i="1" s="1"/>
  <c r="D103" i="1" l="1"/>
  <c r="L102" i="1"/>
  <c r="L101" i="1"/>
  <c r="L100" i="1"/>
  <c r="L99" i="1"/>
  <c r="L98" i="1"/>
  <c r="L97" i="1"/>
  <c r="M103" i="1" l="1"/>
  <c r="L95" i="1"/>
  <c r="T91" i="1" l="1"/>
  <c r="T92" i="1" s="1"/>
  <c r="T93" i="1" s="1"/>
  <c r="T94" i="1" s="1"/>
  <c r="T95" i="1" s="1"/>
  <c r="T96" i="1" s="1"/>
  <c r="L94" i="1"/>
  <c r="L93" i="1"/>
  <c r="L92" i="1"/>
  <c r="L91" i="1" l="1"/>
  <c r="L90" i="1"/>
  <c r="M96" i="1" l="1"/>
  <c r="L74" i="1" l="1"/>
  <c r="L73" i="1"/>
  <c r="M75" i="1" l="1"/>
  <c r="L77" i="1"/>
  <c r="L76" i="1"/>
  <c r="M78" i="1" l="1"/>
  <c r="L71" i="1"/>
  <c r="L70" i="1"/>
  <c r="M72" i="1" l="1"/>
  <c r="L68" i="1"/>
  <c r="L67" i="1"/>
  <c r="L65" i="1"/>
  <c r="L64" i="1"/>
  <c r="L63" i="1"/>
  <c r="L62" i="1"/>
  <c r="M66" i="1" l="1"/>
  <c r="M69" i="1"/>
  <c r="N65" i="1"/>
  <c r="L60" i="1"/>
  <c r="L59" i="1"/>
  <c r="L57" i="1"/>
  <c r="L56" i="1"/>
  <c r="M61" i="1" l="1"/>
  <c r="M58" i="1"/>
  <c r="G5" i="2"/>
  <c r="G4" i="2"/>
  <c r="G8" i="2"/>
  <c r="F9" i="2"/>
  <c r="F8" i="2"/>
  <c r="G7" i="2"/>
  <c r="F7" i="2"/>
  <c r="L54" i="1"/>
  <c r="L53" i="1"/>
  <c r="L51" i="1"/>
  <c r="L50" i="1"/>
  <c r="M55" i="1" l="1"/>
  <c r="M52" i="1"/>
  <c r="H8" i="2"/>
  <c r="H7" i="2"/>
  <c r="F5" i="2"/>
  <c r="H5" i="2" s="1"/>
  <c r="F4" i="2"/>
  <c r="H4" i="2" s="1"/>
  <c r="L45" i="1" l="1"/>
  <c r="L44" i="1"/>
  <c r="L42" i="1"/>
  <c r="L41" i="1"/>
  <c r="L39" i="1"/>
  <c r="L38" i="1"/>
  <c r="M40" i="1" l="1"/>
  <c r="M46" i="1"/>
  <c r="M43" i="1"/>
  <c r="L36" i="1"/>
  <c r="L35" i="1"/>
  <c r="L33" i="1"/>
  <c r="L32" i="1"/>
  <c r="L30" i="1"/>
  <c r="L29" i="1"/>
  <c r="M34" i="1" l="1"/>
  <c r="M31" i="1"/>
  <c r="M37" i="1"/>
  <c r="N30" i="1"/>
  <c r="L27" i="1" l="1"/>
  <c r="L26" i="1"/>
  <c r="L25" i="1"/>
  <c r="L24" i="1"/>
  <c r="L23" i="1"/>
  <c r="M28" i="1" l="1"/>
  <c r="N26" i="1"/>
  <c r="N21" i="1"/>
  <c r="L21" i="1"/>
  <c r="L20" i="1"/>
  <c r="L19" i="1"/>
  <c r="M22" i="1" l="1"/>
  <c r="L17" i="1"/>
  <c r="L16" i="1"/>
  <c r="L14" i="1"/>
  <c r="L13" i="1"/>
  <c r="M15" i="1" l="1"/>
  <c r="M18" i="1"/>
  <c r="L11" i="1"/>
  <c r="L10" i="1"/>
  <c r="L8" i="1"/>
  <c r="L7" i="1"/>
  <c r="M12" i="1" l="1"/>
  <c r="M9" i="1"/>
  <c r="L5" i="1"/>
  <c r="L4" i="1"/>
  <c r="M6" i="1" l="1"/>
</calcChain>
</file>

<file path=xl/sharedStrings.xml><?xml version="1.0" encoding="utf-8"?>
<sst xmlns="http://schemas.openxmlformats.org/spreadsheetml/2006/main" count="478" uniqueCount="167">
  <si>
    <t>Dust experiments - weighings (mg)</t>
  </si>
  <si>
    <t>#</t>
  </si>
  <si>
    <t>Initial</t>
  </si>
  <si>
    <t>Final</t>
  </si>
  <si>
    <t>Sample</t>
  </si>
  <si>
    <t>Duration</t>
  </si>
  <si>
    <t>(hours)</t>
  </si>
  <si>
    <t>Total:</t>
  </si>
  <si>
    <t>Dates</t>
  </si>
  <si>
    <t>Notes</t>
  </si>
  <si>
    <t>Saltation</t>
  </si>
  <si>
    <t>(cm)</t>
  </si>
  <si>
    <t>Turn-over</t>
  </si>
  <si>
    <t>Fast</t>
  </si>
  <si>
    <t>Vigorous</t>
  </si>
  <si>
    <t>Slow</t>
  </si>
  <si>
    <t>Medium</t>
  </si>
  <si>
    <t>(low column)</t>
  </si>
  <si>
    <t>(high column)</t>
  </si>
  <si>
    <t>02-05.10.2016</t>
  </si>
  <si>
    <t>05-08.10.2016</t>
  </si>
  <si>
    <t>10-12</t>
  </si>
  <si>
    <t>15-20</t>
  </si>
  <si>
    <t>8-12</t>
  </si>
  <si>
    <t>Net weight</t>
  </si>
  <si>
    <t>DS 6.2, Hawaii</t>
  </si>
  <si>
    <t>Grand Falls, Arizona</t>
  </si>
  <si>
    <t>11-14.10.2016</t>
  </si>
  <si>
    <t>Iceland, July, 2011</t>
  </si>
  <si>
    <t>14-17.10.2016</t>
  </si>
  <si>
    <t>17-20.10.2016</t>
  </si>
  <si>
    <t>12-14</t>
  </si>
  <si>
    <t>JSC Mars-1A &gt;500</t>
  </si>
  <si>
    <t>JSC Mars-1A 250-500</t>
  </si>
  <si>
    <t>25-28.10.2016</t>
  </si>
  <si>
    <t>20-23.10.2016</t>
  </si>
  <si>
    <t>8-14</t>
  </si>
  <si>
    <t>Wt of sample consumed:</t>
  </si>
  <si>
    <t>on/off by timer</t>
  </si>
  <si>
    <t>Gypsum P-1</t>
  </si>
  <si>
    <t>31.10-03.11.2016</t>
  </si>
  <si>
    <t>Gypsum T-1</t>
  </si>
  <si>
    <t>03-06.11.2016</t>
  </si>
  <si>
    <t>DS 2 Climbing Dune</t>
  </si>
  <si>
    <t>&lt;1</t>
  </si>
  <si>
    <t>negligible</t>
  </si>
  <si>
    <t>DS 1 Falling Dune</t>
  </si>
  <si>
    <t>14-17.11.2016</t>
  </si>
  <si>
    <t>11-14.11.2016</t>
  </si>
  <si>
    <t>Oceano Dunes 11-710</t>
  </si>
  <si>
    <t>08-11.11.2016</t>
  </si>
  <si>
    <t>Oceano Dunes 11-724</t>
  </si>
  <si>
    <t>18-21.11.2016</t>
  </si>
  <si>
    <t>very slow</t>
  </si>
  <si>
    <t>Initial weight (mg)</t>
  </si>
  <si>
    <t>Filter wt</t>
  </si>
  <si>
    <t>Filter+filtrate</t>
  </si>
  <si>
    <t>Filtrate</t>
  </si>
  <si>
    <t>Loss (%)</t>
  </si>
  <si>
    <t>Gypsum dissolution tests</t>
  </si>
  <si>
    <t>Gypsum P1</t>
  </si>
  <si>
    <t>Gypsum T1</t>
  </si>
  <si>
    <t>KV 50B</t>
  </si>
  <si>
    <t>8-10</t>
  </si>
  <si>
    <t>26-29.06.2017</t>
  </si>
  <si>
    <t>23-26.06.2017</t>
  </si>
  <si>
    <t>19-21.06.2017</t>
  </si>
  <si>
    <t>30.06-03.07.2017</t>
  </si>
  <si>
    <t>naked filter (control)</t>
  </si>
  <si>
    <t>AQUEOUS</t>
  </si>
  <si>
    <t>ACETONE</t>
  </si>
  <si>
    <t>No.</t>
  </si>
  <si>
    <t>Loss (mg)</t>
  </si>
  <si>
    <t>20.05.2017</t>
  </si>
  <si>
    <t>217#</t>
  </si>
  <si>
    <t>218#</t>
  </si>
  <si>
    <t>219#</t>
  </si>
  <si>
    <t>Gypsum P1 (test)</t>
  </si>
  <si>
    <t>Gypsum T1 (test)</t>
  </si>
  <si>
    <t>06-09.07.2017</t>
  </si>
  <si>
    <t>JSC Mars-1A  (&lt;1mm)</t>
  </si>
  <si>
    <t>10-13.07.2017</t>
  </si>
  <si>
    <t>9-24</t>
  </si>
  <si>
    <t>very fast</t>
  </si>
  <si>
    <t>fast</t>
  </si>
  <si>
    <t>brassware pre-washed in acetone &amp; isopropanol</t>
  </si>
  <si>
    <t>13-16.07.2017</t>
  </si>
  <si>
    <t>Cancun carbonate</t>
  </si>
  <si>
    <t>16-19.07.2017</t>
  </si>
  <si>
    <t>v.fast (centre)</t>
  </si>
  <si>
    <t>Gypsum G-1</t>
  </si>
  <si>
    <t>19-22.07.2017</t>
  </si>
  <si>
    <t>3-4</t>
  </si>
  <si>
    <t>med/slow</t>
  </si>
  <si>
    <t>13.08.2017</t>
  </si>
  <si>
    <t>15.08.2017</t>
  </si>
  <si>
    <t>16.08.2017</t>
  </si>
  <si>
    <t>21-22.08.2017</t>
  </si>
  <si>
    <t>23-24.08.2017</t>
  </si>
  <si>
    <t>turn-over 90-120 sec</t>
  </si>
  <si>
    <r>
      <t>RH51% 19.5</t>
    </r>
    <r>
      <rPr>
        <sz val="11"/>
        <color theme="1"/>
        <rFont val="Calibri"/>
        <family val="2"/>
      </rPr>
      <t>°</t>
    </r>
    <r>
      <rPr>
        <sz val="9.9"/>
        <color theme="1"/>
        <rFont val="Calibri"/>
        <family val="2"/>
      </rPr>
      <t>C</t>
    </r>
  </si>
  <si>
    <t>mg</t>
  </si>
  <si>
    <t>hrs</t>
  </si>
  <si>
    <t>01-04.09.2017</t>
  </si>
  <si>
    <t>DS6.2, Hawaii</t>
  </si>
  <si>
    <t>06.09.2017</t>
  </si>
  <si>
    <t>07.09.2017</t>
  </si>
  <si>
    <t>11.09.2017</t>
  </si>
  <si>
    <t>11-12.09.2017</t>
  </si>
  <si>
    <t>13-14.09.2017</t>
  </si>
  <si>
    <r>
      <t>RH50% 20.2</t>
    </r>
    <r>
      <rPr>
        <sz val="11"/>
        <color theme="1"/>
        <rFont val="Calibri"/>
        <family val="2"/>
      </rPr>
      <t>°</t>
    </r>
    <r>
      <rPr>
        <sz val="9.9"/>
        <color theme="1"/>
        <rFont val="Calibri"/>
        <family val="2"/>
      </rPr>
      <t>C</t>
    </r>
  </si>
  <si>
    <r>
      <t>RH52% 22</t>
    </r>
    <r>
      <rPr>
        <sz val="11"/>
        <color theme="1"/>
        <rFont val="Calibri"/>
        <family val="2"/>
      </rPr>
      <t>°</t>
    </r>
    <r>
      <rPr>
        <sz val="9.9"/>
        <color theme="1"/>
        <rFont val="Calibri"/>
        <family val="2"/>
      </rPr>
      <t>C</t>
    </r>
  </si>
  <si>
    <r>
      <t>RH50% 21.1</t>
    </r>
    <r>
      <rPr>
        <sz val="11"/>
        <color theme="1"/>
        <rFont val="Calibri"/>
        <family val="2"/>
      </rPr>
      <t>°C</t>
    </r>
  </si>
  <si>
    <r>
      <t>RH45% 20.8</t>
    </r>
    <r>
      <rPr>
        <sz val="11"/>
        <color theme="1"/>
        <rFont val="Calibri"/>
        <family val="2"/>
      </rPr>
      <t>°</t>
    </r>
    <r>
      <rPr>
        <sz val="9.9"/>
        <color theme="1"/>
        <rFont val="Calibri"/>
        <family val="2"/>
      </rPr>
      <t>C</t>
    </r>
  </si>
  <si>
    <t>RH45% 20.8°C</t>
  </si>
  <si>
    <t>25.09.2017</t>
  </si>
  <si>
    <t>26.09.2017</t>
  </si>
  <si>
    <t>27.09.2017</t>
  </si>
  <si>
    <t>29-30.09.2017</t>
  </si>
  <si>
    <t>27-28.09.2017</t>
  </si>
  <si>
    <t>RH50% 21.3°C</t>
  </si>
  <si>
    <t>RH50% 21°C</t>
  </si>
  <si>
    <t>RH50% 20.35°C</t>
  </si>
  <si>
    <t>RH47% 21.4°C</t>
  </si>
  <si>
    <t>RH48.5% 21.4°C</t>
  </si>
  <si>
    <t>KV 200, Iceland</t>
  </si>
  <si>
    <t>KV 50 B, Iceland</t>
  </si>
  <si>
    <t>223# 10mg exhaust</t>
  </si>
  <si>
    <r>
      <t>RH40% 21.55</t>
    </r>
    <r>
      <rPr>
        <sz val="11"/>
        <color theme="1"/>
        <rFont val="Calibri"/>
        <family val="2"/>
      </rPr>
      <t>°</t>
    </r>
    <r>
      <rPr>
        <sz val="9.25"/>
        <color theme="1"/>
        <rFont val="Calibri"/>
        <family val="2"/>
      </rPr>
      <t>C</t>
    </r>
  </si>
  <si>
    <r>
      <t>RH50% 21</t>
    </r>
    <r>
      <rPr>
        <sz val="11"/>
        <color theme="1"/>
        <rFont val="Calibri"/>
        <family val="2"/>
      </rPr>
      <t>°C</t>
    </r>
  </si>
  <si>
    <t>PV2, Algeria</t>
  </si>
  <si>
    <t>05-06.02.2018</t>
  </si>
  <si>
    <t>Time</t>
  </si>
  <si>
    <t>R35</t>
  </si>
  <si>
    <t>(Untreated)</t>
  </si>
  <si>
    <t>%ISW(cum)</t>
  </si>
  <si>
    <t>Sample remaining (mg):</t>
  </si>
  <si>
    <t>Total Yield:</t>
  </si>
  <si>
    <r>
      <t>RH30.5% 20.75</t>
    </r>
    <r>
      <rPr>
        <sz val="11"/>
        <color theme="1"/>
        <rFont val="Calibri"/>
        <family val="2"/>
      </rPr>
      <t>°</t>
    </r>
    <r>
      <rPr>
        <sz val="8.8000000000000007"/>
        <color theme="1"/>
        <rFont val="Calibri"/>
        <family val="2"/>
      </rPr>
      <t>C</t>
    </r>
  </si>
  <si>
    <r>
      <t>RH28.5% 18.85</t>
    </r>
    <r>
      <rPr>
        <sz val="11"/>
        <color theme="1"/>
        <rFont val="Calibri"/>
        <family val="2"/>
      </rPr>
      <t>°</t>
    </r>
    <r>
      <rPr>
        <sz val="8.8000000000000007"/>
        <color theme="1"/>
        <rFont val="Calibri"/>
        <family val="2"/>
      </rPr>
      <t>C</t>
    </r>
  </si>
  <si>
    <r>
      <t>RH30.5% 20.35</t>
    </r>
    <r>
      <rPr>
        <sz val="11"/>
        <color theme="1"/>
        <rFont val="Calibri"/>
        <family val="2"/>
      </rPr>
      <t>°</t>
    </r>
    <r>
      <rPr>
        <sz val="8.8000000000000007"/>
        <color theme="1"/>
        <rFont val="Calibri"/>
        <family val="2"/>
      </rPr>
      <t>C</t>
    </r>
  </si>
  <si>
    <r>
      <t>RH35% 20.05</t>
    </r>
    <r>
      <rPr>
        <sz val="11"/>
        <color theme="1"/>
        <rFont val="Calibri"/>
        <family val="2"/>
      </rPr>
      <t>°</t>
    </r>
    <r>
      <rPr>
        <sz val="8.8000000000000007"/>
        <color theme="1"/>
        <rFont val="Calibri"/>
        <family val="2"/>
      </rPr>
      <t>C</t>
    </r>
  </si>
  <si>
    <r>
      <t>RH37% 16.6</t>
    </r>
    <r>
      <rPr>
        <sz val="11"/>
        <color theme="1"/>
        <rFont val="Calibri"/>
        <family val="2"/>
      </rPr>
      <t>°</t>
    </r>
    <r>
      <rPr>
        <sz val="8.8000000000000007"/>
        <color theme="1"/>
        <rFont val="Calibri"/>
        <family val="2"/>
      </rPr>
      <t>C</t>
    </r>
  </si>
  <si>
    <r>
      <t>RH27.5% 21.85</t>
    </r>
    <r>
      <rPr>
        <sz val="11"/>
        <color theme="1"/>
        <rFont val="Calibri"/>
        <family val="2"/>
      </rPr>
      <t>°</t>
    </r>
    <r>
      <rPr>
        <sz val="8.8000000000000007"/>
        <color theme="1"/>
        <rFont val="Calibri"/>
        <family val="2"/>
      </rPr>
      <t>C</t>
    </r>
  </si>
  <si>
    <r>
      <t>RH23% 19.6</t>
    </r>
    <r>
      <rPr>
        <sz val="11"/>
        <color theme="1"/>
        <rFont val="Calibri"/>
        <family val="2"/>
      </rPr>
      <t>°</t>
    </r>
    <r>
      <rPr>
        <sz val="8.8000000000000007"/>
        <color theme="1"/>
        <rFont val="Calibri"/>
        <family val="2"/>
      </rPr>
      <t>C</t>
    </r>
  </si>
  <si>
    <r>
      <t>RH35% 19.6</t>
    </r>
    <r>
      <rPr>
        <sz val="11"/>
        <color theme="1"/>
        <rFont val="Calibri"/>
        <family val="2"/>
      </rPr>
      <t>°</t>
    </r>
    <r>
      <rPr>
        <sz val="8.8000000000000007"/>
        <color theme="1"/>
        <rFont val="Calibri"/>
        <family val="2"/>
      </rPr>
      <t>C</t>
    </r>
  </si>
  <si>
    <r>
      <t>RH31.5% 21.1</t>
    </r>
    <r>
      <rPr>
        <sz val="11"/>
        <color theme="1"/>
        <rFont val="Calibri"/>
        <family val="2"/>
      </rPr>
      <t>°</t>
    </r>
    <r>
      <rPr>
        <sz val="8.8000000000000007"/>
        <color theme="1"/>
        <rFont val="Calibri"/>
        <family val="2"/>
      </rPr>
      <t>C</t>
    </r>
  </si>
  <si>
    <t>08.02.2018</t>
  </si>
  <si>
    <t>09.02.2018</t>
  </si>
  <si>
    <t>13.02.2018</t>
  </si>
  <si>
    <t>14-15.02.2018</t>
  </si>
  <si>
    <t>23-24.02.2018</t>
  </si>
  <si>
    <t>26-27.02.2018</t>
  </si>
  <si>
    <t>05-06.03.2018</t>
  </si>
  <si>
    <t>06-07.03.2018</t>
  </si>
  <si>
    <t>v. fast</t>
  </si>
  <si>
    <t>12-20</t>
  </si>
  <si>
    <t>JSC Mars 1A &lt;1mm</t>
  </si>
  <si>
    <t>R 64 (Bullard)</t>
  </si>
  <si>
    <t>Residue</t>
  </si>
  <si>
    <t>weight (g)</t>
  </si>
  <si>
    <t>(Untreated, mg)</t>
  </si>
  <si>
    <t>JSC Mars 1A</t>
  </si>
  <si>
    <t>%ISW</t>
  </si>
  <si>
    <t>(ISW, Untreated)</t>
  </si>
  <si>
    <t>DS 6.2</t>
  </si>
  <si>
    <t>Grand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</si>
</sst>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  <font>
      <sz val="9.25"/>
      <color theme="1"/>
      <name val="Calibri"/>
      <family val="2"/>
    </font>
    <font>
      <sz val="11"/>
      <color rgb="FFFF0000"/>
      <name val="Calibri"/>
      <family val="2"/>
      <scheme val="minor"/>
    </font>
    <font>
      <sz val="8.8000000000000007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center"/>
    </xf>
    <xf numFmtId="0" fontId="4" fillId="0" borderId="0" xfId="0" applyFont="1" applyBorder="1" applyAlignment="1">
      <alignment horizontal="right"/>
    </xf>
    <xf numFmtId="17" fontId="0" fillId="0" borderId="0" xfId="0" quotePrefix="1" applyNumberFormat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 applyBorder="1"/>
    <xf numFmtId="4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" fontId="0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2" fontId="0" fillId="0" borderId="0" xfId="0" applyNumberFormat="1" applyFont="1"/>
    <xf numFmtId="2" fontId="0" fillId="0" borderId="0" xfId="0" quotePrefix="1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'Dust expts'!$D$90:$D$95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'Dust expts'!$L$90:$L$95</c:f>
              <c:numCache>
                <c:formatCode>#,##0.00</c:formatCode>
                <c:ptCount val="6"/>
                <c:pt idx="0">
                  <c:v>2.039999999999992</c:v>
                </c:pt>
                <c:pt idx="1">
                  <c:v>4.539999999999992</c:v>
                </c:pt>
                <c:pt idx="2">
                  <c:v>6.8299999999999983</c:v>
                </c:pt>
                <c:pt idx="3">
                  <c:v>9.8000000000000114</c:v>
                </c:pt>
                <c:pt idx="4">
                  <c:v>19.39</c:v>
                </c:pt>
                <c:pt idx="5">
                  <c:v>33.03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21568"/>
        <c:axId val="217907968"/>
      </c:barChart>
      <c:catAx>
        <c:axId val="2182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907968"/>
        <c:crosses val="autoZero"/>
        <c:auto val="1"/>
        <c:lblAlgn val="ctr"/>
        <c:lblOffset val="100"/>
        <c:noMultiLvlLbl val="0"/>
      </c:catAx>
      <c:valAx>
        <c:axId val="2179079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822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0646735013711"/>
          <c:y val="8.037567541956056E-2"/>
          <c:w val="0.82689400539153812"/>
          <c:h val="0.76748283175799714"/>
        </c:manualLayout>
      </c:layout>
      <c:scatterChart>
        <c:scatterStyle val="lineMarker"/>
        <c:varyColors val="0"/>
        <c:ser>
          <c:idx val="2"/>
          <c:order val="1"/>
          <c:xVal>
            <c:numRef>
              <c:f>'Dust expts'!$AM$81:$AM$86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</c:numCache>
            </c:numRef>
          </c:xVal>
          <c:yVal>
            <c:numRef>
              <c:f>'Dust expts'!$AL$81:$AL$86</c:f>
              <c:numCache>
                <c:formatCode>General</c:formatCode>
                <c:ptCount val="6"/>
                <c:pt idx="0">
                  <c:v>2.0400000000000001E-2</c:v>
                </c:pt>
                <c:pt idx="1">
                  <c:v>6.5799999999999997E-2</c:v>
                </c:pt>
                <c:pt idx="2">
                  <c:v>0.1341</c:v>
                </c:pt>
                <c:pt idx="3">
                  <c:v>0.2321</c:v>
                </c:pt>
                <c:pt idx="4">
                  <c:v>0.42599999999999999</c:v>
                </c:pt>
                <c:pt idx="5">
                  <c:v>0.75629999999999997</c:v>
                </c:pt>
              </c:numCache>
            </c:numRef>
          </c:yVal>
          <c:smooth val="0"/>
        </c:ser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numRef>
              <c:f>'Dust expts'!$AJ$81:$AJ$86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</c:numCache>
            </c:numRef>
          </c:xVal>
          <c:yVal>
            <c:numRef>
              <c:f>'Dust expts'!$AI$81:$AI$86</c:f>
              <c:numCache>
                <c:formatCode>General</c:formatCode>
                <c:ptCount val="6"/>
                <c:pt idx="0">
                  <c:v>3.32E-2</c:v>
                </c:pt>
                <c:pt idx="1">
                  <c:v>8.0399999999999985E-2</c:v>
                </c:pt>
                <c:pt idx="2">
                  <c:v>0.14360000000000001</c:v>
                </c:pt>
                <c:pt idx="3">
                  <c:v>0.22440000000000002</c:v>
                </c:pt>
                <c:pt idx="4">
                  <c:v>0.35</c:v>
                </c:pt>
                <c:pt idx="5">
                  <c:v>0.5222</c:v>
                </c:pt>
              </c:numCache>
            </c:numRef>
          </c:yVal>
          <c:smooth val="0"/>
        </c:ser>
        <c:ser>
          <c:idx val="3"/>
          <c:order val="2"/>
          <c:tx>
            <c:v>R64</c:v>
          </c:tx>
          <c:marker>
            <c:symbol val="square"/>
            <c:size val="7"/>
            <c:spPr>
              <a:ln>
                <a:noFill/>
              </a:ln>
            </c:spPr>
          </c:marker>
          <c:xVal>
            <c:numRef>
              <c:f>'Dust expts'!$AP$81:$AP$88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'Dust expts'!$AO$81:$AO$88</c:f>
              <c:numCache>
                <c:formatCode>General</c:formatCode>
                <c:ptCount val="8"/>
                <c:pt idx="0">
                  <c:v>7.0000000000000007E-2</c:v>
                </c:pt>
                <c:pt idx="1">
                  <c:v>0.12</c:v>
                </c:pt>
                <c:pt idx="2">
                  <c:v>0.18</c:v>
                </c:pt>
                <c:pt idx="3">
                  <c:v>0.28000000000000003</c:v>
                </c:pt>
                <c:pt idx="4">
                  <c:v>0.33</c:v>
                </c:pt>
                <c:pt idx="5">
                  <c:v>0.41</c:v>
                </c:pt>
                <c:pt idx="6">
                  <c:v>0.42</c:v>
                </c:pt>
                <c:pt idx="7">
                  <c:v>0.48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38496"/>
        <c:axId val="198429696"/>
      </c:scatterChart>
      <c:valAx>
        <c:axId val="1781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8429696"/>
        <c:crosses val="autoZero"/>
        <c:crossBetween val="midCat"/>
        <c:majorUnit val="10"/>
      </c:valAx>
      <c:valAx>
        <c:axId val="19842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8138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7.5697386280060924E-2"/>
                  <c:y val="-7.7412530806428806E-2"/>
                </c:manualLayout>
              </c:layout>
              <c:numFmt formatCode="General" sourceLinked="0"/>
            </c:trendlineLbl>
          </c:trendline>
          <c:xVal>
            <c:numRef>
              <c:f>'Dust expts'!$U$91:$U$96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</c:numCache>
            </c:numRef>
          </c:xVal>
          <c:yVal>
            <c:numRef>
              <c:f>'Dust expts'!$T$91:$T$96</c:f>
              <c:numCache>
                <c:formatCode>General</c:formatCode>
                <c:ptCount val="6"/>
                <c:pt idx="0">
                  <c:v>2.039999999999992</c:v>
                </c:pt>
                <c:pt idx="1">
                  <c:v>6.5799999999999841</c:v>
                </c:pt>
                <c:pt idx="2">
                  <c:v>13.409999999999982</c:v>
                </c:pt>
                <c:pt idx="3">
                  <c:v>23.209999999999994</c:v>
                </c:pt>
                <c:pt idx="4">
                  <c:v>42.599999999999994</c:v>
                </c:pt>
                <c:pt idx="5">
                  <c:v>75.63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32544"/>
        <c:axId val="217934080"/>
      </c:scatterChart>
      <c:valAx>
        <c:axId val="2179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934080"/>
        <c:crosses val="autoZero"/>
        <c:crossBetween val="midCat"/>
        <c:majorUnit val="10"/>
      </c:valAx>
      <c:valAx>
        <c:axId val="21793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93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'Dust expts'!$D$97:$D$102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'Dust expts'!$L$97:$L$102</c:f>
              <c:numCache>
                <c:formatCode>#,##0.00</c:formatCode>
                <c:ptCount val="6"/>
                <c:pt idx="0">
                  <c:v>3.3199999999999932</c:v>
                </c:pt>
                <c:pt idx="1">
                  <c:v>4.7199999999999989</c:v>
                </c:pt>
                <c:pt idx="2">
                  <c:v>6.3200000000000074</c:v>
                </c:pt>
                <c:pt idx="3">
                  <c:v>8.0799999999999983</c:v>
                </c:pt>
                <c:pt idx="4">
                  <c:v>12.560000000000002</c:v>
                </c:pt>
                <c:pt idx="5">
                  <c:v>17.22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53792"/>
        <c:axId val="217955328"/>
      </c:barChart>
      <c:catAx>
        <c:axId val="2179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955328"/>
        <c:crosses val="autoZero"/>
        <c:auto val="1"/>
        <c:lblAlgn val="ctr"/>
        <c:lblOffset val="100"/>
        <c:noMultiLvlLbl val="0"/>
      </c:catAx>
      <c:valAx>
        <c:axId val="217955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795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8.5866056972174046E-2"/>
                  <c:y val="-8.3055707430555209E-2"/>
                </c:manualLayout>
              </c:layout>
              <c:numFmt formatCode="General" sourceLinked="0"/>
            </c:trendlineLbl>
          </c:trendline>
          <c:xVal>
            <c:numRef>
              <c:f>'Dust expts'!$U$98:$U$103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</c:numCache>
            </c:numRef>
          </c:xVal>
          <c:yVal>
            <c:numRef>
              <c:f>'Dust expts'!$T$98:$T$103</c:f>
              <c:numCache>
                <c:formatCode>General</c:formatCode>
                <c:ptCount val="6"/>
                <c:pt idx="0">
                  <c:v>3.3199999999999932</c:v>
                </c:pt>
                <c:pt idx="1">
                  <c:v>8.039999999999992</c:v>
                </c:pt>
                <c:pt idx="2">
                  <c:v>14.36</c:v>
                </c:pt>
                <c:pt idx="3">
                  <c:v>22.439999999999998</c:v>
                </c:pt>
                <c:pt idx="4">
                  <c:v>35</c:v>
                </c:pt>
                <c:pt idx="5">
                  <c:v>52.22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291904"/>
        <c:axId val="227293440"/>
      </c:scatterChart>
      <c:valAx>
        <c:axId val="2272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293440"/>
        <c:crosses val="autoZero"/>
        <c:crossBetween val="midCat"/>
        <c:majorUnit val="10"/>
      </c:valAx>
      <c:valAx>
        <c:axId val="22729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291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0646735013711"/>
          <c:y val="8.037567541956056E-2"/>
          <c:w val="0.82689400539153812"/>
          <c:h val="0.76748283175799714"/>
        </c:manualLayout>
      </c:layout>
      <c:scatterChart>
        <c:scatterStyle val="lineMarker"/>
        <c:varyColors val="0"/>
        <c:ser>
          <c:idx val="1"/>
          <c:order val="1"/>
          <c:marker>
            <c:spPr>
              <a:ln>
                <a:noFill/>
              </a:ln>
            </c:spPr>
          </c:marker>
          <c:xVal>
            <c:numRef>
              <c:f>'Dust expts'!$U$79:$U$84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</c:numCache>
            </c:numRef>
          </c:xVal>
          <c:yVal>
            <c:numRef>
              <c:f>'Dust expts'!$T$79:$T$84</c:f>
              <c:numCache>
                <c:formatCode>General</c:formatCode>
                <c:ptCount val="6"/>
                <c:pt idx="0">
                  <c:v>0.35999999999999943</c:v>
                </c:pt>
                <c:pt idx="1">
                  <c:v>0.90999999999999659</c:v>
                </c:pt>
                <c:pt idx="2">
                  <c:v>1.5099999999999909</c:v>
                </c:pt>
                <c:pt idx="3">
                  <c:v>6.3699999999999903</c:v>
                </c:pt>
                <c:pt idx="4">
                  <c:v>7.5099999999999909</c:v>
                </c:pt>
                <c:pt idx="5">
                  <c:v>8.6199999999999903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'Dust expts'!$U$91:$U$96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</c:numCache>
            </c:numRef>
          </c:xVal>
          <c:yVal>
            <c:numRef>
              <c:f>'Dust expts'!$T$91:$T$96</c:f>
              <c:numCache>
                <c:formatCode>General</c:formatCode>
                <c:ptCount val="6"/>
                <c:pt idx="0">
                  <c:v>2.039999999999992</c:v>
                </c:pt>
                <c:pt idx="1">
                  <c:v>6.5799999999999841</c:v>
                </c:pt>
                <c:pt idx="2">
                  <c:v>13.409999999999982</c:v>
                </c:pt>
                <c:pt idx="3">
                  <c:v>23.209999999999994</c:v>
                </c:pt>
                <c:pt idx="4">
                  <c:v>42.599999999999994</c:v>
                </c:pt>
                <c:pt idx="5">
                  <c:v>75.63</c:v>
                </c:pt>
              </c:numCache>
            </c:numRef>
          </c:yVal>
          <c:smooth val="0"/>
        </c:ser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numRef>
              <c:f>'Dust expts'!$U$98:$U$103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</c:numCache>
            </c:numRef>
          </c:xVal>
          <c:yVal>
            <c:numRef>
              <c:f>'Dust expts'!$T$98:$T$103</c:f>
              <c:numCache>
                <c:formatCode>General</c:formatCode>
                <c:ptCount val="6"/>
                <c:pt idx="0">
                  <c:v>3.3199999999999932</c:v>
                </c:pt>
                <c:pt idx="1">
                  <c:v>8.039999999999992</c:v>
                </c:pt>
                <c:pt idx="2">
                  <c:v>14.36</c:v>
                </c:pt>
                <c:pt idx="3">
                  <c:v>22.439999999999998</c:v>
                </c:pt>
                <c:pt idx="4">
                  <c:v>35</c:v>
                </c:pt>
                <c:pt idx="5">
                  <c:v>52.22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18784"/>
        <c:axId val="227341440"/>
      </c:scatterChart>
      <c:valAx>
        <c:axId val="2273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7341440"/>
        <c:crosses val="autoZero"/>
        <c:crossBetween val="midCat"/>
        <c:majorUnit val="10"/>
      </c:valAx>
      <c:valAx>
        <c:axId val="22734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7318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'Dust expts'!$R$108</c:f>
              <c:strCache>
                <c:ptCount val="1"/>
                <c:pt idx="0">
                  <c:v>(Untreated)</c:v>
                </c:pt>
              </c:strCache>
            </c:strRef>
          </c:tx>
          <c:xVal>
            <c:numRef>
              <c:f>'Dust expts'!$Q$109:$Q$118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  <c:pt idx="7">
                  <c:v>72</c:v>
                </c:pt>
                <c:pt idx="8">
                  <c:v>96</c:v>
                </c:pt>
                <c:pt idx="9">
                  <c:v>120</c:v>
                </c:pt>
              </c:numCache>
            </c:numRef>
          </c:xVal>
          <c:yVal>
            <c:numRef>
              <c:f>'Dust expts'!$R$109:$R$118</c:f>
              <c:numCache>
                <c:formatCode>General</c:formatCode>
                <c:ptCount val="10"/>
                <c:pt idx="0">
                  <c:v>0.15043561724746693</c:v>
                </c:pt>
                <c:pt idx="1">
                  <c:v>0.62943000590665033</c:v>
                </c:pt>
                <c:pt idx="2">
                  <c:v>1.4526727702303193</c:v>
                </c:pt>
                <c:pt idx="3">
                  <c:v>1.7636961015947903</c:v>
                </c:pt>
                <c:pt idx="4">
                  <c:v>2.0055005906674364</c:v>
                </c:pt>
                <c:pt idx="5">
                  <c:v>2.1393236857648796</c:v>
                </c:pt>
                <c:pt idx="6">
                  <c:v>2.1946987595983134</c:v>
                </c:pt>
                <c:pt idx="7">
                  <c:v>2.2565342587122994</c:v>
                </c:pt>
                <c:pt idx="8">
                  <c:v>2.2703780271706577</c:v>
                </c:pt>
                <c:pt idx="9">
                  <c:v>2.2952968103957097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61536"/>
        <c:axId val="227363072"/>
      </c:scatterChart>
      <c:valAx>
        <c:axId val="227361536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out"/>
        <c:tickLblPos val="nextTo"/>
        <c:crossAx val="227363072"/>
        <c:crosses val="autoZero"/>
        <c:crossBetween val="midCat"/>
        <c:minorUnit val="4"/>
      </c:valAx>
      <c:valAx>
        <c:axId val="22736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361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'Dust expts'!$Q$122:$Q$123</c:f>
              <c:strCache>
                <c:ptCount val="1"/>
                <c:pt idx="0">
                  <c:v>R35 (ISW, Untreated)</c:v>
                </c:pt>
              </c:strCache>
            </c:strRef>
          </c:tx>
          <c:xVal>
            <c:numRef>
              <c:f>'Dust expts'!$P$124:$P$133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  <c:pt idx="7">
                  <c:v>72</c:v>
                </c:pt>
                <c:pt idx="8">
                  <c:v>96</c:v>
                </c:pt>
                <c:pt idx="9">
                  <c:v>120</c:v>
                </c:pt>
              </c:numCache>
            </c:numRef>
          </c:xVal>
          <c:yVal>
            <c:numRef>
              <c:f>'Dust expts'!$Q$124:$Q$133</c:f>
              <c:numCache>
                <c:formatCode>General</c:formatCode>
                <c:ptCount val="10"/>
                <c:pt idx="0">
                  <c:v>0.15</c:v>
                </c:pt>
                <c:pt idx="1">
                  <c:v>0.63</c:v>
                </c:pt>
                <c:pt idx="2">
                  <c:v>1.45</c:v>
                </c:pt>
                <c:pt idx="3">
                  <c:v>1.76</c:v>
                </c:pt>
                <c:pt idx="4">
                  <c:v>2.0099999999999998</c:v>
                </c:pt>
                <c:pt idx="5">
                  <c:v>2.14</c:v>
                </c:pt>
                <c:pt idx="6">
                  <c:v>2.19</c:v>
                </c:pt>
                <c:pt idx="7">
                  <c:v>2.2599999999999998</c:v>
                </c:pt>
                <c:pt idx="8">
                  <c:v>2.27</c:v>
                </c:pt>
                <c:pt idx="9">
                  <c:v>2.2999999999999998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'Dust expts'!$L$127:$L$135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47</c:v>
                </c:pt>
                <c:pt idx="6">
                  <c:v>71</c:v>
                </c:pt>
                <c:pt idx="7">
                  <c:v>95</c:v>
                </c:pt>
                <c:pt idx="8">
                  <c:v>119</c:v>
                </c:pt>
              </c:numCache>
            </c:numRef>
          </c:xVal>
          <c:yVal>
            <c:numRef>
              <c:f>'Dust expts'!$M$127:$M$135</c:f>
              <c:numCache>
                <c:formatCode>General</c:formatCode>
                <c:ptCount val="9"/>
                <c:pt idx="0">
                  <c:v>6.1501000000000001</c:v>
                </c:pt>
                <c:pt idx="1">
                  <c:v>10.793800000000001</c:v>
                </c:pt>
                <c:pt idx="2">
                  <c:v>16.931000000000001</c:v>
                </c:pt>
                <c:pt idx="3">
                  <c:v>24.632000000000001</c:v>
                </c:pt>
                <c:pt idx="4">
                  <c:v>32.697800000000001</c:v>
                </c:pt>
                <c:pt idx="5">
                  <c:v>35.698700000000002</c:v>
                </c:pt>
                <c:pt idx="6">
                  <c:v>39.310700000000004</c:v>
                </c:pt>
                <c:pt idx="7">
                  <c:v>42.568100000000001</c:v>
                </c:pt>
                <c:pt idx="8">
                  <c:v>44.206000000000003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96224"/>
        <c:axId val="227398016"/>
      </c:scatterChart>
      <c:valAx>
        <c:axId val="2273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7398016"/>
        <c:crosses val="autoZero"/>
        <c:crossBetween val="midCat"/>
      </c:valAx>
      <c:valAx>
        <c:axId val="22739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396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0646735013711"/>
          <c:y val="8.037567541956056E-2"/>
          <c:w val="0.82689400539153812"/>
          <c:h val="0.76748283175799714"/>
        </c:manualLayout>
      </c:layout>
      <c:scatterChart>
        <c:scatterStyle val="lineMarker"/>
        <c:varyColors val="0"/>
        <c:ser>
          <c:idx val="2"/>
          <c:order val="1"/>
          <c:xVal>
            <c:numRef>
              <c:f>'Dust expts'!$U$91:$U$96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</c:numCache>
            </c:numRef>
          </c:xVal>
          <c:yVal>
            <c:numRef>
              <c:f>'Dust expts'!$T$91:$T$96</c:f>
              <c:numCache>
                <c:formatCode>General</c:formatCode>
                <c:ptCount val="6"/>
                <c:pt idx="0">
                  <c:v>2.039999999999992</c:v>
                </c:pt>
                <c:pt idx="1">
                  <c:v>6.5799999999999841</c:v>
                </c:pt>
                <c:pt idx="2">
                  <c:v>13.409999999999982</c:v>
                </c:pt>
                <c:pt idx="3">
                  <c:v>23.209999999999994</c:v>
                </c:pt>
                <c:pt idx="4">
                  <c:v>42.599999999999994</c:v>
                </c:pt>
                <c:pt idx="5">
                  <c:v>75.63</c:v>
                </c:pt>
              </c:numCache>
            </c:numRef>
          </c:yVal>
          <c:smooth val="0"/>
        </c:ser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numRef>
              <c:f>'Dust expts'!$U$98:$U$103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</c:numCache>
            </c:numRef>
          </c:xVal>
          <c:yVal>
            <c:numRef>
              <c:f>'Dust expts'!$T$98:$T$103</c:f>
              <c:numCache>
                <c:formatCode>General</c:formatCode>
                <c:ptCount val="6"/>
                <c:pt idx="0">
                  <c:v>3.3199999999999932</c:v>
                </c:pt>
                <c:pt idx="1">
                  <c:v>8.039999999999992</c:v>
                </c:pt>
                <c:pt idx="2">
                  <c:v>14.36</c:v>
                </c:pt>
                <c:pt idx="3">
                  <c:v>22.439999999999998</c:v>
                </c:pt>
                <c:pt idx="4">
                  <c:v>35</c:v>
                </c:pt>
                <c:pt idx="5">
                  <c:v>52.22</c:v>
                </c:pt>
              </c:numCache>
            </c:numRef>
          </c:yVal>
          <c:smooth val="0"/>
        </c:ser>
        <c:ser>
          <c:idx val="3"/>
          <c:order val="2"/>
          <c:tx>
            <c:v>R64</c:v>
          </c:tx>
          <c:marker>
            <c:symbol val="square"/>
            <c:size val="7"/>
            <c:spPr>
              <a:ln>
                <a:noFill/>
              </a:ln>
            </c:spPr>
          </c:marker>
          <c:xVal>
            <c:numRef>
              <c:f>'Dust expts'!$AF$81:$AF$88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  <c:pt idx="7">
                  <c:v>72</c:v>
                </c:pt>
              </c:numCache>
            </c:numRef>
          </c:xVal>
          <c:yVal>
            <c:numRef>
              <c:f>'Dust expts'!$AE$81:$AE$88</c:f>
              <c:numCache>
                <c:formatCode>General</c:formatCode>
                <c:ptCount val="8"/>
                <c:pt idx="0">
                  <c:v>7</c:v>
                </c:pt>
                <c:pt idx="1">
                  <c:v>12</c:v>
                </c:pt>
                <c:pt idx="2">
                  <c:v>18</c:v>
                </c:pt>
                <c:pt idx="3">
                  <c:v>28</c:v>
                </c:pt>
                <c:pt idx="4">
                  <c:v>33</c:v>
                </c:pt>
                <c:pt idx="5">
                  <c:v>41</c:v>
                </c:pt>
                <c:pt idx="6">
                  <c:v>42</c:v>
                </c:pt>
                <c:pt idx="7">
                  <c:v>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553280"/>
        <c:axId val="227555200"/>
      </c:scatterChart>
      <c:valAx>
        <c:axId val="2275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7555200"/>
        <c:crosses val="autoZero"/>
        <c:crossBetween val="midCat"/>
        <c:majorUnit val="10"/>
      </c:valAx>
      <c:valAx>
        <c:axId val="22755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7553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'Dust expts'!$Q$122:$Q$123</c:f>
              <c:strCache>
                <c:ptCount val="1"/>
                <c:pt idx="0">
                  <c:v>R35 (ISW, Untreated)</c:v>
                </c:pt>
              </c:strCache>
            </c:strRef>
          </c:tx>
          <c:xVal>
            <c:numRef>
              <c:f>'Dust expts'!$AK$123:$AK$132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  <c:pt idx="7">
                  <c:v>72</c:v>
                </c:pt>
                <c:pt idx="8">
                  <c:v>96</c:v>
                </c:pt>
                <c:pt idx="9">
                  <c:v>120</c:v>
                </c:pt>
              </c:numCache>
            </c:numRef>
          </c:xVal>
          <c:yVal>
            <c:numRef>
              <c:f>'Dust expts'!$AL$123:$AL$132</c:f>
              <c:numCache>
                <c:formatCode>General</c:formatCode>
                <c:ptCount val="10"/>
                <c:pt idx="0">
                  <c:v>15</c:v>
                </c:pt>
                <c:pt idx="1">
                  <c:v>63</c:v>
                </c:pt>
                <c:pt idx="2">
                  <c:v>145</c:v>
                </c:pt>
                <c:pt idx="3">
                  <c:v>176</c:v>
                </c:pt>
                <c:pt idx="4">
                  <c:v>201</c:v>
                </c:pt>
                <c:pt idx="5">
                  <c:v>214</c:v>
                </c:pt>
                <c:pt idx="6">
                  <c:v>219</c:v>
                </c:pt>
                <c:pt idx="7">
                  <c:v>226</c:v>
                </c:pt>
                <c:pt idx="8">
                  <c:v>227</c:v>
                </c:pt>
                <c:pt idx="9">
                  <c:v>230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'Dust expts'!$AK$137:$AK$145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47</c:v>
                </c:pt>
                <c:pt idx="6">
                  <c:v>71</c:v>
                </c:pt>
                <c:pt idx="7">
                  <c:v>95</c:v>
                </c:pt>
                <c:pt idx="8">
                  <c:v>119</c:v>
                </c:pt>
              </c:numCache>
            </c:numRef>
          </c:xVal>
          <c:yVal>
            <c:numRef>
              <c:f>'Dust expts'!$AL$137:$AL$145</c:f>
              <c:numCache>
                <c:formatCode>General</c:formatCode>
                <c:ptCount val="9"/>
                <c:pt idx="0">
                  <c:v>615.01</c:v>
                </c:pt>
                <c:pt idx="1">
                  <c:v>1079.3800000000001</c:v>
                </c:pt>
                <c:pt idx="2">
                  <c:v>1693.1</c:v>
                </c:pt>
                <c:pt idx="3">
                  <c:v>2463.1999999999998</c:v>
                </c:pt>
                <c:pt idx="4">
                  <c:v>3269.78</c:v>
                </c:pt>
                <c:pt idx="5">
                  <c:v>3569.87</c:v>
                </c:pt>
                <c:pt idx="6">
                  <c:v>3931.07</c:v>
                </c:pt>
                <c:pt idx="7">
                  <c:v>4256.8100000000004</c:v>
                </c:pt>
                <c:pt idx="8">
                  <c:v>4420.6000000000004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10272"/>
        <c:axId val="177808128"/>
      </c:scatterChart>
      <c:valAx>
        <c:axId val="15551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7808128"/>
        <c:crosses val="autoZero"/>
        <c:crossBetween val="midCat"/>
      </c:valAx>
      <c:valAx>
        <c:axId val="17780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510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1280583</xdr:colOff>
      <xdr:row>89</xdr:row>
      <xdr:rowOff>95250</xdr:rowOff>
    </xdr:from>
    <xdr:to>
      <xdr:col>17</xdr:col>
      <xdr:colOff>511970</xdr:colOff>
      <xdr:row>95</xdr:row>
      <xdr:rowOff>179916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105833</xdr:colOff>
      <xdr:row>89</xdr:row>
      <xdr:rowOff>83344</xdr:rowOff>
    </xdr:from>
    <xdr:to>
      <xdr:col>25</xdr:col>
      <xdr:colOff>416719</xdr:colOff>
      <xdr:row>96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1280585</xdr:colOff>
      <xdr:row>95</xdr:row>
      <xdr:rowOff>177800</xdr:rowOff>
    </xdr:from>
    <xdr:to>
      <xdr:col>17</xdr:col>
      <xdr:colOff>523876</xdr:colOff>
      <xdr:row>102</xdr:row>
      <xdr:rowOff>71438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101601</xdr:colOff>
      <xdr:row>95</xdr:row>
      <xdr:rowOff>188382</xdr:rowOff>
    </xdr:from>
    <xdr:to>
      <xdr:col>25</xdr:col>
      <xdr:colOff>428626</xdr:colOff>
      <xdr:row>102</xdr:row>
      <xdr:rowOff>166688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249464</xdr:colOff>
      <xdr:row>61</xdr:row>
      <xdr:rowOff>180069</xdr:rowOff>
    </xdr:from>
    <xdr:to>
      <xdr:col>25</xdr:col>
      <xdr:colOff>476249</xdr:colOff>
      <xdr:row>77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24</xdr:col>
      <xdr:colOff>443257</xdr:colOff>
      <xdr:row>72</xdr:row>
      <xdr:rowOff>164938</xdr:rowOff>
    </xdr:from>
    <xdr:ext cx="414665" cy="264560"/>
    <xdr:sp macro="" textlink="">
      <xdr:nvSpPr>
        <xdr:cNvPr id="8" name="TextBox 7"/>
        <xdr:cNvSpPr txBox="1"/>
      </xdr:nvSpPr>
      <xdr:spPr>
        <a:xfrm>
          <a:off x="16127035" y="51838063"/>
          <a:ext cx="414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>
              <a:solidFill>
                <a:srgbClr val="C00000"/>
              </a:solidFill>
            </a:rPr>
            <a:t>PV2</a:t>
          </a:r>
        </a:p>
      </xdr:txBody>
    </xdr:sp>
    <xdr:clientData/>
  </xdr:oneCellAnchor>
  <xdr:oneCellAnchor>
    <xdr:from>
      <xdr:col>24</xdr:col>
      <xdr:colOff>357019</xdr:colOff>
      <xdr:row>66</xdr:row>
      <xdr:rowOff>0</xdr:rowOff>
    </xdr:from>
    <xdr:ext cx="545790" cy="436786"/>
    <xdr:sp macro="" textlink="">
      <xdr:nvSpPr>
        <xdr:cNvPr id="24" name="TextBox 23"/>
        <xdr:cNvSpPr txBox="1"/>
      </xdr:nvSpPr>
      <xdr:spPr>
        <a:xfrm>
          <a:off x="16040797" y="50504148"/>
          <a:ext cx="54579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>
              <a:solidFill>
                <a:schemeClr val="tx1">
                  <a:lumMod val="65000"/>
                  <a:lumOff val="35000"/>
                </a:schemeClr>
              </a:solidFill>
            </a:rPr>
            <a:t>Grand</a:t>
          </a:r>
        </a:p>
        <a:p>
          <a:pPr algn="ctr"/>
          <a:r>
            <a:rPr lang="en-GB" sz="1100" b="1">
              <a:solidFill>
                <a:schemeClr val="tx1">
                  <a:lumMod val="65000"/>
                  <a:lumOff val="35000"/>
                </a:schemeClr>
              </a:solidFill>
            </a:rPr>
            <a:t>Falls</a:t>
          </a:r>
        </a:p>
      </xdr:txBody>
    </xdr:sp>
    <xdr:clientData/>
  </xdr:oneCellAnchor>
  <xdr:oneCellAnchor>
    <xdr:from>
      <xdr:col>24</xdr:col>
      <xdr:colOff>327992</xdr:colOff>
      <xdr:row>62</xdr:row>
      <xdr:rowOff>148107</xdr:rowOff>
    </xdr:from>
    <xdr:ext cx="587277" cy="436786"/>
    <xdr:sp macro="" textlink="">
      <xdr:nvSpPr>
        <xdr:cNvPr id="25" name="TextBox 24"/>
        <xdr:cNvSpPr txBox="1"/>
      </xdr:nvSpPr>
      <xdr:spPr>
        <a:xfrm>
          <a:off x="16011770" y="49872937"/>
          <a:ext cx="58727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100" b="1">
              <a:solidFill>
                <a:schemeClr val="accent3"/>
              </a:solidFill>
            </a:rPr>
            <a:t>DS6.2</a:t>
          </a:r>
        </a:p>
        <a:p>
          <a:pPr algn="ctr"/>
          <a:r>
            <a:rPr lang="en-GB" sz="1100" b="1">
              <a:solidFill>
                <a:schemeClr val="accent3"/>
              </a:solidFill>
            </a:rPr>
            <a:t>Hawaii</a:t>
          </a:r>
        </a:p>
      </xdr:txBody>
    </xdr:sp>
    <xdr:clientData/>
  </xdr:oneCellAnchor>
  <xdr:oneCellAnchor>
    <xdr:from>
      <xdr:col>21</xdr:col>
      <xdr:colOff>472475</xdr:colOff>
      <xdr:row>75</xdr:row>
      <xdr:rowOff>73026</xdr:rowOff>
    </xdr:from>
    <xdr:ext cx="609334" cy="311496"/>
    <xdr:sp macro="" textlink="">
      <xdr:nvSpPr>
        <xdr:cNvPr id="26" name="TextBox 25"/>
        <xdr:cNvSpPr txBox="1"/>
      </xdr:nvSpPr>
      <xdr:spPr>
        <a:xfrm>
          <a:off x="14337844" y="52330640"/>
          <a:ext cx="60933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400" b="0">
              <a:solidFill>
                <a:schemeClr val="tx1"/>
              </a:solidFill>
            </a:rPr>
            <a:t>hours</a:t>
          </a:r>
        </a:p>
      </xdr:txBody>
    </xdr:sp>
    <xdr:clientData/>
  </xdr:oneCellAnchor>
  <xdr:oneCellAnchor>
    <xdr:from>
      <xdr:col>17</xdr:col>
      <xdr:colOff>329029</xdr:colOff>
      <xdr:row>62</xdr:row>
      <xdr:rowOff>69771</xdr:rowOff>
    </xdr:from>
    <xdr:ext cx="412613" cy="311496"/>
    <xdr:sp macro="" textlink="">
      <xdr:nvSpPr>
        <xdr:cNvPr id="27" name="TextBox 26"/>
        <xdr:cNvSpPr txBox="1"/>
      </xdr:nvSpPr>
      <xdr:spPr>
        <a:xfrm>
          <a:off x="12256927" y="49794601"/>
          <a:ext cx="412613" cy="31149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400" b="0">
              <a:solidFill>
                <a:schemeClr val="tx1"/>
              </a:solidFill>
            </a:rPr>
            <a:t>mg</a:t>
          </a:r>
        </a:p>
      </xdr:txBody>
    </xdr:sp>
    <xdr:clientData/>
  </xdr:oneCellAnchor>
  <xdr:twoCellAnchor>
    <xdr:from>
      <xdr:col>18</xdr:col>
      <xdr:colOff>441614</xdr:colOff>
      <xdr:row>105</xdr:row>
      <xdr:rowOff>122093</xdr:rowOff>
    </xdr:from>
    <xdr:to>
      <xdr:col>27</xdr:col>
      <xdr:colOff>45460</xdr:colOff>
      <xdr:row>119</xdr:row>
      <xdr:rowOff>137680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16328</xdr:colOff>
      <xdr:row>120</xdr:row>
      <xdr:rowOff>340</xdr:rowOff>
    </xdr:from>
    <xdr:to>
      <xdr:col>27</xdr:col>
      <xdr:colOff>452</xdr:colOff>
      <xdr:row>134</xdr:row>
      <xdr:rowOff>167708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20864</xdr:colOff>
      <xdr:row>61</xdr:row>
      <xdr:rowOff>189594</xdr:rowOff>
    </xdr:from>
    <xdr:to>
      <xdr:col>33</xdr:col>
      <xdr:colOff>374649</xdr:colOff>
      <xdr:row>77</xdr:row>
      <xdr:rowOff>9525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32</xdr:col>
      <xdr:colOff>309907</xdr:colOff>
      <xdr:row>67</xdr:row>
      <xdr:rowOff>22063</xdr:rowOff>
    </xdr:from>
    <xdr:ext cx="438966" cy="264560"/>
    <xdr:sp macro="" textlink="">
      <xdr:nvSpPr>
        <xdr:cNvPr id="15" name="TextBox 14"/>
        <xdr:cNvSpPr txBox="1"/>
      </xdr:nvSpPr>
      <xdr:spPr>
        <a:xfrm>
          <a:off x="20931532" y="12833188"/>
          <a:ext cx="4389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>
              <a:solidFill>
                <a:srgbClr val="7030A0"/>
              </a:solidFill>
            </a:rPr>
            <a:t>R 64</a:t>
          </a:r>
        </a:p>
      </xdr:txBody>
    </xdr:sp>
    <xdr:clientData/>
  </xdr:oneCellAnchor>
  <xdr:oneCellAnchor>
    <xdr:from>
      <xdr:col>31</xdr:col>
      <xdr:colOff>385594</xdr:colOff>
      <xdr:row>65</xdr:row>
      <xdr:rowOff>123825</xdr:rowOff>
    </xdr:from>
    <xdr:ext cx="545790" cy="436786"/>
    <xdr:sp macro="" textlink="">
      <xdr:nvSpPr>
        <xdr:cNvPr id="16" name="TextBox 15"/>
        <xdr:cNvSpPr txBox="1"/>
      </xdr:nvSpPr>
      <xdr:spPr>
        <a:xfrm>
          <a:off x="20397619" y="12553950"/>
          <a:ext cx="54579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GB" sz="1100" b="1">
              <a:solidFill>
                <a:schemeClr val="tx1">
                  <a:lumMod val="65000"/>
                  <a:lumOff val="35000"/>
                </a:schemeClr>
              </a:solidFill>
            </a:rPr>
            <a:t>Grand</a:t>
          </a:r>
        </a:p>
        <a:p>
          <a:pPr algn="r"/>
          <a:r>
            <a:rPr lang="en-GB" sz="1100" b="1">
              <a:solidFill>
                <a:schemeClr val="tx1">
                  <a:lumMod val="65000"/>
                  <a:lumOff val="35000"/>
                </a:schemeClr>
              </a:solidFill>
            </a:rPr>
            <a:t>Falls</a:t>
          </a:r>
        </a:p>
      </xdr:txBody>
    </xdr:sp>
    <xdr:clientData/>
  </xdr:oneCellAnchor>
  <xdr:oneCellAnchor>
    <xdr:from>
      <xdr:col>31</xdr:col>
      <xdr:colOff>413717</xdr:colOff>
      <xdr:row>62</xdr:row>
      <xdr:rowOff>157632</xdr:rowOff>
    </xdr:from>
    <xdr:ext cx="587277" cy="436786"/>
    <xdr:sp macro="" textlink="">
      <xdr:nvSpPr>
        <xdr:cNvPr id="17" name="TextBox 16"/>
        <xdr:cNvSpPr txBox="1"/>
      </xdr:nvSpPr>
      <xdr:spPr>
        <a:xfrm>
          <a:off x="20425742" y="12016257"/>
          <a:ext cx="58727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GB" sz="1100" b="1">
              <a:solidFill>
                <a:schemeClr val="accent3"/>
              </a:solidFill>
            </a:rPr>
            <a:t>DS6.2</a:t>
          </a:r>
        </a:p>
        <a:p>
          <a:pPr algn="r"/>
          <a:r>
            <a:rPr lang="en-GB" sz="1100" b="1">
              <a:solidFill>
                <a:schemeClr val="accent3"/>
              </a:solidFill>
            </a:rPr>
            <a:t>Hawaii</a:t>
          </a:r>
        </a:p>
      </xdr:txBody>
    </xdr:sp>
    <xdr:clientData/>
  </xdr:oneCellAnchor>
  <xdr:oneCellAnchor>
    <xdr:from>
      <xdr:col>26</xdr:col>
      <xdr:colOff>129004</xdr:colOff>
      <xdr:row>62</xdr:row>
      <xdr:rowOff>60246</xdr:rowOff>
    </xdr:from>
    <xdr:ext cx="412613" cy="311496"/>
    <xdr:sp macro="" textlink="">
      <xdr:nvSpPr>
        <xdr:cNvPr id="18" name="TextBox 17"/>
        <xdr:cNvSpPr txBox="1"/>
      </xdr:nvSpPr>
      <xdr:spPr>
        <a:xfrm>
          <a:off x="17093029" y="11918871"/>
          <a:ext cx="412613" cy="31149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400" b="0">
              <a:solidFill>
                <a:schemeClr val="tx1"/>
              </a:solidFill>
            </a:rPr>
            <a:t>mg</a:t>
          </a:r>
        </a:p>
      </xdr:txBody>
    </xdr:sp>
    <xdr:clientData/>
  </xdr:oneCellAnchor>
  <xdr:oneCellAnchor>
    <xdr:from>
      <xdr:col>29</xdr:col>
      <xdr:colOff>139100</xdr:colOff>
      <xdr:row>75</xdr:row>
      <xdr:rowOff>111126</xdr:rowOff>
    </xdr:from>
    <xdr:ext cx="609334" cy="311496"/>
    <xdr:sp macro="" textlink="">
      <xdr:nvSpPr>
        <xdr:cNvPr id="21" name="TextBox 20"/>
        <xdr:cNvSpPr txBox="1"/>
      </xdr:nvSpPr>
      <xdr:spPr>
        <a:xfrm>
          <a:off x="18931925" y="14446251"/>
          <a:ext cx="60933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400" b="0">
              <a:solidFill>
                <a:schemeClr val="tx1"/>
              </a:solidFill>
            </a:rPr>
            <a:t>hours</a:t>
          </a:r>
        </a:p>
      </xdr:txBody>
    </xdr:sp>
    <xdr:clientData/>
  </xdr:oneCellAnchor>
  <xdr:twoCellAnchor>
    <xdr:from>
      <xdr:col>27</xdr:col>
      <xdr:colOff>308802</xdr:colOff>
      <xdr:row>119</xdr:row>
      <xdr:rowOff>194762</xdr:rowOff>
    </xdr:from>
    <xdr:to>
      <xdr:col>34</xdr:col>
      <xdr:colOff>573072</xdr:colOff>
      <xdr:row>134</xdr:row>
      <xdr:rowOff>166027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607493</xdr:colOff>
      <xdr:row>61</xdr:row>
      <xdr:rowOff>187913</xdr:rowOff>
    </xdr:from>
    <xdr:to>
      <xdr:col>41</xdr:col>
      <xdr:colOff>344953</xdr:colOff>
      <xdr:row>77</xdr:row>
      <xdr:rowOff>7844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40</xdr:col>
      <xdr:colOff>294223</xdr:colOff>
      <xdr:row>67</xdr:row>
      <xdr:rowOff>34390</xdr:rowOff>
    </xdr:from>
    <xdr:ext cx="438966" cy="264560"/>
    <xdr:sp macro="" textlink="">
      <xdr:nvSpPr>
        <xdr:cNvPr id="29" name="TextBox 28"/>
        <xdr:cNvSpPr txBox="1"/>
      </xdr:nvSpPr>
      <xdr:spPr>
        <a:xfrm>
          <a:off x="27090289" y="13215309"/>
          <a:ext cx="4389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>
              <a:solidFill>
                <a:srgbClr val="7030A0"/>
              </a:solidFill>
            </a:rPr>
            <a:t>R 64</a:t>
          </a:r>
        </a:p>
      </xdr:txBody>
    </xdr:sp>
    <xdr:clientData/>
  </xdr:oneCellAnchor>
  <xdr:oneCellAnchor>
    <xdr:from>
      <xdr:col>39</xdr:col>
      <xdr:colOff>369909</xdr:colOff>
      <xdr:row>65</xdr:row>
      <xdr:rowOff>136152</xdr:rowOff>
    </xdr:from>
    <xdr:ext cx="545790" cy="436786"/>
    <xdr:sp macro="" textlink="">
      <xdr:nvSpPr>
        <xdr:cNvPr id="30" name="TextBox 29"/>
        <xdr:cNvSpPr txBox="1"/>
      </xdr:nvSpPr>
      <xdr:spPr>
        <a:xfrm>
          <a:off x="26549652" y="12924865"/>
          <a:ext cx="54579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GB" sz="1100" b="1">
              <a:solidFill>
                <a:schemeClr val="tx1">
                  <a:lumMod val="65000"/>
                  <a:lumOff val="35000"/>
                </a:schemeClr>
              </a:solidFill>
            </a:rPr>
            <a:t>Grand</a:t>
          </a:r>
        </a:p>
        <a:p>
          <a:pPr algn="r"/>
          <a:r>
            <a:rPr lang="en-GB" sz="1100" b="1">
              <a:solidFill>
                <a:schemeClr val="tx1">
                  <a:lumMod val="65000"/>
                  <a:lumOff val="35000"/>
                </a:schemeClr>
              </a:solidFill>
            </a:rPr>
            <a:t>Falls</a:t>
          </a:r>
        </a:p>
      </xdr:txBody>
    </xdr:sp>
    <xdr:clientData/>
  </xdr:oneCellAnchor>
  <xdr:oneCellAnchor>
    <xdr:from>
      <xdr:col>39</xdr:col>
      <xdr:colOff>398032</xdr:colOff>
      <xdr:row>62</xdr:row>
      <xdr:rowOff>169959</xdr:rowOff>
    </xdr:from>
    <xdr:ext cx="587277" cy="436786"/>
    <xdr:sp macro="" textlink="">
      <xdr:nvSpPr>
        <xdr:cNvPr id="31" name="TextBox 30"/>
        <xdr:cNvSpPr txBox="1"/>
      </xdr:nvSpPr>
      <xdr:spPr>
        <a:xfrm>
          <a:off x="26577775" y="12370363"/>
          <a:ext cx="58727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GB" sz="1100" b="1">
              <a:solidFill>
                <a:schemeClr val="accent3"/>
              </a:solidFill>
            </a:rPr>
            <a:t>DS6.2</a:t>
          </a:r>
        </a:p>
        <a:p>
          <a:pPr algn="r"/>
          <a:r>
            <a:rPr lang="en-GB" sz="1100" b="1">
              <a:solidFill>
                <a:schemeClr val="accent3"/>
              </a:solidFill>
            </a:rPr>
            <a:t>Hawaii</a:t>
          </a:r>
        </a:p>
      </xdr:txBody>
    </xdr:sp>
    <xdr:clientData/>
  </xdr:oneCellAnchor>
  <xdr:oneCellAnchor>
    <xdr:from>
      <xdr:col>34</xdr:col>
      <xdr:colOff>1259</xdr:colOff>
      <xdr:row>62</xdr:row>
      <xdr:rowOff>16544</xdr:rowOff>
    </xdr:from>
    <xdr:ext cx="629072" cy="311496"/>
    <xdr:sp macro="" textlink="">
      <xdr:nvSpPr>
        <xdr:cNvPr id="32" name="TextBox 31"/>
        <xdr:cNvSpPr txBox="1"/>
      </xdr:nvSpPr>
      <xdr:spPr>
        <a:xfrm>
          <a:off x="23099384" y="12216948"/>
          <a:ext cx="629072" cy="31149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 b="0">
              <a:solidFill>
                <a:schemeClr val="tx1"/>
              </a:solidFill>
            </a:rPr>
            <a:t>%ISW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0.84208</cdr:x>
      <cdr:y>0.0777</cdr:y>
    </cdr:from>
    <cdr:to>
      <cdr:x>0.93809</cdr:x>
      <cdr:y>0.17415</cdr:y>
    </cdr:to>
    <cdr:sp macro="" textlink="">
      <cdr:nvSpPr>
        <cdr:cNvPr id="3" name="TextBox 30"/>
        <cdr:cNvSpPr txBox="1"/>
      </cdr:nvSpPr>
      <cdr:spPr>
        <a:xfrm xmlns:a="http://schemas.openxmlformats.org/drawingml/2006/main">
          <a:off x="3849977" y="213157"/>
          <a:ext cx="438966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0070C0"/>
              </a:solidFill>
            </a:rPr>
            <a:t>R 35</a:t>
          </a:r>
          <a:endParaRPr lang="en-GB" sz="1100" b="1">
            <a:solidFill>
              <a:srgbClr val="0070C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0.85304</cdr:x>
      <cdr:y>0.79196</cdr:y>
    </cdr:from>
    <cdr:to>
      <cdr:x>0.9485</cdr:x>
      <cdr:y>0.89476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0110" y="2218387"/>
          <a:ext cx="431967" cy="287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70C0"/>
              </a:solidFill>
            </a:rPr>
            <a:t>R 35</a:t>
          </a:r>
        </a:p>
      </cdr:txBody>
    </cdr:sp>
  </cdr:relSizeAnchor>
  <cdr:relSizeAnchor xmlns:cdr="http://schemas.openxmlformats.org/drawingml/2006/chartDrawing">
    <cdr:from>
      <cdr:x>0.8041</cdr:x>
      <cdr:y>0.03185</cdr:y>
    </cdr:from>
    <cdr:to>
      <cdr:x>0.99021</cdr:x>
      <cdr:y>0.13465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38621" y="89216"/>
          <a:ext cx="842169" cy="287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C00000"/>
              </a:solidFill>
            </a:rPr>
            <a:t>JSC</a:t>
          </a:r>
          <a:r>
            <a:rPr lang="en-GB" sz="1100" b="1" baseline="0">
              <a:solidFill>
                <a:srgbClr val="C00000"/>
              </a:solidFill>
            </a:rPr>
            <a:t> Mars 1A</a:t>
          </a:r>
          <a:endParaRPr lang="en-GB" sz="1100" b="1">
            <a:solidFill>
              <a:srgbClr val="C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0.85304</cdr:x>
      <cdr:y>0.79196</cdr:y>
    </cdr:from>
    <cdr:to>
      <cdr:x>0.9485</cdr:x>
      <cdr:y>0.89476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0110" y="2218387"/>
          <a:ext cx="431967" cy="287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70C0"/>
              </a:solidFill>
            </a:rPr>
            <a:t>R 35</a:t>
          </a:r>
        </a:p>
      </cdr:txBody>
    </cdr:sp>
  </cdr:relSizeAnchor>
  <cdr:relSizeAnchor xmlns:cdr="http://schemas.openxmlformats.org/drawingml/2006/chartDrawing">
    <cdr:from>
      <cdr:x>0.8041</cdr:x>
      <cdr:y>0.03185</cdr:y>
    </cdr:from>
    <cdr:to>
      <cdr:x>0.99021</cdr:x>
      <cdr:y>0.13465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38621" y="89216"/>
          <a:ext cx="842169" cy="287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C00000"/>
              </a:solidFill>
            </a:rPr>
            <a:t>JSC</a:t>
          </a:r>
          <a:r>
            <a:rPr lang="en-GB" sz="1100" b="1" baseline="0">
              <a:solidFill>
                <a:srgbClr val="C00000"/>
              </a:solidFill>
            </a:rPr>
            <a:t> Mars 1A</a:t>
          </a:r>
          <a:endParaRPr lang="en-GB" sz="1100" b="1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5"/>
  <sheetViews>
    <sheetView tabSelected="1" topLeftCell="N113" zoomScale="68" zoomScaleNormal="68" workbookViewId="0">
      <selection activeCell="AK60" sqref="AK60"/>
    </sheetView>
  </sheetViews>
  <sheetFormatPr defaultRowHeight="15" x14ac:dyDescent="0.25"/>
  <cols>
    <col min="1" max="1" width="5.42578125" style="1" customWidth="1"/>
    <col min="2" max="2" width="23.7109375" style="2" customWidth="1"/>
    <col min="3" max="3" width="15" style="2" customWidth="1"/>
    <col min="4" max="5" width="9.140625" style="2"/>
    <col min="6" max="6" width="13" style="2" customWidth="1"/>
    <col min="7" max="7" width="14.7109375" style="5" customWidth="1"/>
    <col min="8" max="8" width="9.140625" style="4"/>
    <col min="9" max="9" width="9.140625" style="25" customWidth="1"/>
    <col min="10" max="10" width="12.5703125" style="5" customWidth="1"/>
    <col min="11" max="11" width="10.28515625" style="4" customWidth="1"/>
    <col min="12" max="12" width="10.5703125" style="24" customWidth="1"/>
    <col min="13" max="13" width="12" style="20" customWidth="1"/>
    <col min="14" max="14" width="21.5703125" style="2" customWidth="1"/>
    <col min="15" max="16" width="5.85546875" customWidth="1"/>
    <col min="19" max="21" width="6.7109375" customWidth="1"/>
    <col min="38" max="38" width="9.140625" customWidth="1"/>
  </cols>
  <sheetData>
    <row r="1" spans="1:16" s="3" customFormat="1" ht="18.75" x14ac:dyDescent="0.3">
      <c r="A1" s="6" t="s">
        <v>0</v>
      </c>
      <c r="B1" s="12"/>
      <c r="C1" s="12"/>
      <c r="D1" s="13"/>
      <c r="E1" s="12"/>
      <c r="F1" s="12"/>
      <c r="G1" s="14"/>
      <c r="H1" s="14"/>
      <c r="I1" s="22"/>
      <c r="J1" s="13"/>
      <c r="K1" s="13"/>
      <c r="L1" s="22"/>
      <c r="M1" s="19"/>
      <c r="N1" s="12"/>
      <c r="O1" s="13"/>
      <c r="P1" s="13"/>
    </row>
    <row r="2" spans="1:16" x14ac:dyDescent="0.25">
      <c r="A2" s="10"/>
      <c r="B2" s="12"/>
      <c r="C2" s="12"/>
      <c r="D2" s="12" t="s">
        <v>5</v>
      </c>
      <c r="E2" s="12" t="s">
        <v>10</v>
      </c>
      <c r="F2" s="12" t="s">
        <v>12</v>
      </c>
      <c r="G2" s="14" t="s">
        <v>159</v>
      </c>
      <c r="H2" s="14"/>
      <c r="I2" s="22"/>
      <c r="J2" s="14"/>
      <c r="K2" s="14"/>
      <c r="L2" s="22"/>
      <c r="M2" s="19"/>
      <c r="N2" s="7"/>
      <c r="O2" s="11"/>
      <c r="P2" s="11"/>
    </row>
    <row r="3" spans="1:16" x14ac:dyDescent="0.25">
      <c r="A3" s="10" t="s">
        <v>1</v>
      </c>
      <c r="B3" s="12" t="s">
        <v>4</v>
      </c>
      <c r="C3" s="12" t="s">
        <v>8</v>
      </c>
      <c r="D3" s="12" t="s">
        <v>6</v>
      </c>
      <c r="E3" s="12" t="s">
        <v>11</v>
      </c>
      <c r="F3" s="12"/>
      <c r="G3" s="27" t="s">
        <v>160</v>
      </c>
      <c r="H3" s="15" t="s">
        <v>2</v>
      </c>
      <c r="I3" s="19" t="s">
        <v>3</v>
      </c>
      <c r="J3" s="14"/>
      <c r="K3" s="14"/>
      <c r="L3" s="19" t="s">
        <v>24</v>
      </c>
      <c r="M3" s="19"/>
      <c r="N3" s="12" t="s">
        <v>9</v>
      </c>
      <c r="O3" s="11"/>
      <c r="P3" s="11"/>
    </row>
    <row r="4" spans="1:16" x14ac:dyDescent="0.25">
      <c r="A4" s="1">
        <v>143</v>
      </c>
      <c r="B4" s="2" t="s">
        <v>125</v>
      </c>
      <c r="C4" s="2" t="s">
        <v>19</v>
      </c>
      <c r="D4" s="7">
        <v>72</v>
      </c>
      <c r="E4" s="16" t="s">
        <v>22</v>
      </c>
      <c r="F4" s="2" t="s">
        <v>15</v>
      </c>
      <c r="H4" s="4">
        <v>102.27</v>
      </c>
      <c r="I4" s="25">
        <v>103.84</v>
      </c>
      <c r="J4" s="9" t="s">
        <v>18</v>
      </c>
      <c r="K4" s="8"/>
      <c r="L4" s="23">
        <f>+I4-H4</f>
        <v>1.5700000000000074</v>
      </c>
      <c r="M4" s="19"/>
    </row>
    <row r="5" spans="1:16" x14ac:dyDescent="0.25">
      <c r="A5" s="1">
        <v>144</v>
      </c>
      <c r="B5" s="2" t="s">
        <v>125</v>
      </c>
      <c r="C5" s="2" t="s">
        <v>19</v>
      </c>
      <c r="D5" s="7">
        <v>72</v>
      </c>
      <c r="E5" s="16" t="s">
        <v>22</v>
      </c>
      <c r="F5" s="2" t="s">
        <v>15</v>
      </c>
      <c r="G5" s="5">
        <v>9.5</v>
      </c>
      <c r="H5" s="4">
        <v>101.57</v>
      </c>
      <c r="I5" s="25">
        <v>110.48</v>
      </c>
      <c r="J5" s="9" t="s">
        <v>17</v>
      </c>
      <c r="K5" s="8"/>
      <c r="L5" s="23">
        <f>+I5-H5</f>
        <v>8.9100000000000108</v>
      </c>
      <c r="M5" s="19"/>
    </row>
    <row r="6" spans="1:16" x14ac:dyDescent="0.25">
      <c r="D6" s="7"/>
      <c r="K6" s="15" t="s">
        <v>7</v>
      </c>
      <c r="M6" s="19">
        <f>SUM(L4:L5)</f>
        <v>10.480000000000018</v>
      </c>
    </row>
    <row r="7" spans="1:16" x14ac:dyDescent="0.25">
      <c r="A7" s="1">
        <v>151</v>
      </c>
      <c r="B7" s="2" t="s">
        <v>126</v>
      </c>
      <c r="C7" s="2" t="s">
        <v>20</v>
      </c>
      <c r="D7" s="7">
        <v>72</v>
      </c>
      <c r="E7" s="16" t="s">
        <v>23</v>
      </c>
      <c r="F7" s="2" t="s">
        <v>14</v>
      </c>
      <c r="H7" s="4">
        <v>102.59</v>
      </c>
      <c r="I7" s="25">
        <v>105.86</v>
      </c>
      <c r="J7" s="9" t="s">
        <v>18</v>
      </c>
      <c r="K7" s="8"/>
      <c r="L7" s="23">
        <f>+I7-H7</f>
        <v>3.269999999999996</v>
      </c>
      <c r="M7" s="19"/>
    </row>
    <row r="8" spans="1:16" x14ac:dyDescent="0.25">
      <c r="A8" s="1">
        <v>152</v>
      </c>
      <c r="B8" s="2" t="s">
        <v>126</v>
      </c>
      <c r="C8" s="2" t="s">
        <v>20</v>
      </c>
      <c r="D8" s="7">
        <v>72</v>
      </c>
      <c r="E8" s="16" t="s">
        <v>23</v>
      </c>
      <c r="F8" s="2" t="s">
        <v>14</v>
      </c>
      <c r="G8" s="5">
        <v>9.61</v>
      </c>
      <c r="H8" s="4">
        <v>103.72</v>
      </c>
      <c r="I8" s="25">
        <v>122.12</v>
      </c>
      <c r="J8" s="9" t="s">
        <v>17</v>
      </c>
      <c r="K8" s="8"/>
      <c r="L8" s="23">
        <f>+I8-H8</f>
        <v>18.400000000000006</v>
      </c>
      <c r="M8" s="19"/>
    </row>
    <row r="9" spans="1:16" x14ac:dyDescent="0.25">
      <c r="D9" s="7"/>
      <c r="K9" s="15" t="s">
        <v>7</v>
      </c>
      <c r="M9" s="19">
        <f>SUM(L7:L8)</f>
        <v>21.67</v>
      </c>
    </row>
    <row r="10" spans="1:16" x14ac:dyDescent="0.25">
      <c r="A10" s="1">
        <v>153</v>
      </c>
      <c r="B10" s="2" t="s">
        <v>25</v>
      </c>
      <c r="C10" s="2" t="s">
        <v>27</v>
      </c>
      <c r="D10" s="7">
        <v>72</v>
      </c>
      <c r="E10" s="18" t="s">
        <v>31</v>
      </c>
      <c r="F10" s="2" t="s">
        <v>14</v>
      </c>
      <c r="H10" s="4">
        <v>101.4</v>
      </c>
      <c r="I10" s="25">
        <v>110.98</v>
      </c>
      <c r="J10" s="9" t="s">
        <v>18</v>
      </c>
      <c r="K10" s="8"/>
      <c r="L10" s="23">
        <f>+I10-H10</f>
        <v>9.5799999999999983</v>
      </c>
      <c r="M10" s="19"/>
    </row>
    <row r="11" spans="1:16" x14ac:dyDescent="0.25">
      <c r="A11" s="1">
        <v>154</v>
      </c>
      <c r="B11" s="2" t="s">
        <v>25</v>
      </c>
      <c r="C11" s="2" t="s">
        <v>27</v>
      </c>
      <c r="D11" s="7">
        <v>72</v>
      </c>
      <c r="E11" s="18" t="s">
        <v>31</v>
      </c>
      <c r="F11" s="2" t="s">
        <v>14</v>
      </c>
      <c r="G11" s="5">
        <v>8.82</v>
      </c>
      <c r="H11" s="4">
        <v>103.24</v>
      </c>
      <c r="I11" s="25">
        <v>163.07</v>
      </c>
      <c r="J11" s="9" t="s">
        <v>17</v>
      </c>
      <c r="K11" s="8"/>
      <c r="L11" s="23">
        <f>+I11-H11</f>
        <v>59.83</v>
      </c>
      <c r="M11" s="19"/>
    </row>
    <row r="12" spans="1:16" x14ac:dyDescent="0.25">
      <c r="D12" s="7"/>
      <c r="K12" s="15" t="s">
        <v>7</v>
      </c>
      <c r="M12" s="19">
        <f>SUM(L10:L11)</f>
        <v>69.41</v>
      </c>
    </row>
    <row r="13" spans="1:16" x14ac:dyDescent="0.25">
      <c r="A13" s="1">
        <v>155</v>
      </c>
      <c r="B13" s="2" t="s">
        <v>26</v>
      </c>
      <c r="C13" s="2" t="s">
        <v>29</v>
      </c>
      <c r="D13" s="2">
        <v>72</v>
      </c>
      <c r="E13" s="16" t="s">
        <v>21</v>
      </c>
      <c r="F13" s="2" t="s">
        <v>14</v>
      </c>
      <c r="H13" s="4">
        <v>102.82</v>
      </c>
      <c r="I13" s="25">
        <v>109.19</v>
      </c>
      <c r="J13" s="9" t="s">
        <v>18</v>
      </c>
      <c r="K13" s="8"/>
      <c r="L13" s="23">
        <f>+I13-H13</f>
        <v>6.3700000000000045</v>
      </c>
      <c r="M13" s="19"/>
    </row>
    <row r="14" spans="1:16" x14ac:dyDescent="0.25">
      <c r="A14" s="1">
        <v>156</v>
      </c>
      <c r="B14" s="2" t="s">
        <v>26</v>
      </c>
      <c r="C14" s="2" t="s">
        <v>29</v>
      </c>
      <c r="D14" s="2">
        <v>72</v>
      </c>
      <c r="E14" s="16" t="s">
        <v>21</v>
      </c>
      <c r="F14" s="2" t="s">
        <v>14</v>
      </c>
      <c r="G14" s="5">
        <v>9.35</v>
      </c>
      <c r="H14" s="4">
        <v>103.58</v>
      </c>
      <c r="I14" s="25">
        <v>153.13999999999999</v>
      </c>
      <c r="J14" s="9" t="s">
        <v>17</v>
      </c>
      <c r="K14" s="8"/>
      <c r="L14" s="23">
        <f>+I14-H14</f>
        <v>49.559999999999988</v>
      </c>
      <c r="M14" s="19"/>
    </row>
    <row r="15" spans="1:16" x14ac:dyDescent="0.25">
      <c r="K15" s="15" t="s">
        <v>7</v>
      </c>
      <c r="M15" s="19">
        <f>SUM(L13:L14)</f>
        <v>55.929999999999993</v>
      </c>
    </row>
    <row r="16" spans="1:16" x14ac:dyDescent="0.25">
      <c r="A16" s="1">
        <v>161</v>
      </c>
      <c r="B16" s="2" t="s">
        <v>28</v>
      </c>
      <c r="C16" s="2" t="s">
        <v>30</v>
      </c>
      <c r="D16" s="2">
        <v>72</v>
      </c>
      <c r="E16" s="2">
        <v>10</v>
      </c>
      <c r="F16" s="2" t="s">
        <v>13</v>
      </c>
      <c r="H16" s="4">
        <v>102.36</v>
      </c>
      <c r="I16" s="25">
        <v>114.92</v>
      </c>
      <c r="J16" s="9" t="s">
        <v>18</v>
      </c>
      <c r="K16" s="8"/>
      <c r="L16" s="23">
        <f t="shared" ref="L16:L27" si="0">+I16-H16</f>
        <v>12.560000000000002</v>
      </c>
      <c r="M16" s="19"/>
    </row>
    <row r="17" spans="1:14" x14ac:dyDescent="0.25">
      <c r="A17" s="1">
        <v>162</v>
      </c>
      <c r="B17" s="2" t="s">
        <v>28</v>
      </c>
      <c r="C17" s="2" t="s">
        <v>30</v>
      </c>
      <c r="D17" s="2">
        <v>72</v>
      </c>
      <c r="E17" s="2">
        <v>10</v>
      </c>
      <c r="F17" s="2" t="s">
        <v>13</v>
      </c>
      <c r="G17" s="5">
        <v>9.43</v>
      </c>
      <c r="H17" s="4">
        <v>103.78</v>
      </c>
      <c r="I17" s="25">
        <v>146.94999999999999</v>
      </c>
      <c r="J17" s="9" t="s">
        <v>17</v>
      </c>
      <c r="K17" s="8"/>
      <c r="L17" s="23">
        <f t="shared" si="0"/>
        <v>43.169999999999987</v>
      </c>
      <c r="M17" s="19"/>
    </row>
    <row r="18" spans="1:14" x14ac:dyDescent="0.25">
      <c r="K18" s="15" t="s">
        <v>7</v>
      </c>
      <c r="M18" s="19">
        <f>SUM(L16:L17)</f>
        <v>55.72999999999999</v>
      </c>
    </row>
    <row r="19" spans="1:14" x14ac:dyDescent="0.25">
      <c r="A19" s="1">
        <v>163</v>
      </c>
      <c r="B19" s="2" t="s">
        <v>32</v>
      </c>
      <c r="C19" s="2" t="s">
        <v>35</v>
      </c>
      <c r="D19" s="2">
        <v>72</v>
      </c>
      <c r="E19" s="2">
        <v>5</v>
      </c>
      <c r="F19" s="2" t="s">
        <v>15</v>
      </c>
      <c r="H19" s="4">
        <v>103.6</v>
      </c>
      <c r="I19" s="25">
        <v>888.26</v>
      </c>
      <c r="J19" s="9" t="s">
        <v>18</v>
      </c>
      <c r="L19" s="23">
        <f t="shared" si="0"/>
        <v>784.66</v>
      </c>
      <c r="N19" s="2" t="s">
        <v>38</v>
      </c>
    </row>
    <row r="20" spans="1:14" x14ac:dyDescent="0.25">
      <c r="A20" s="1">
        <v>164</v>
      </c>
      <c r="B20" s="2" t="s">
        <v>32</v>
      </c>
      <c r="C20" s="2" t="s">
        <v>35</v>
      </c>
      <c r="D20" s="2">
        <v>72</v>
      </c>
      <c r="E20" s="2">
        <v>5</v>
      </c>
      <c r="F20" s="2" t="s">
        <v>15</v>
      </c>
      <c r="H20" s="4">
        <v>105.32</v>
      </c>
      <c r="I20" s="25">
        <v>515.69000000000005</v>
      </c>
      <c r="J20" s="9" t="s">
        <v>17</v>
      </c>
      <c r="L20" s="23">
        <f t="shared" si="0"/>
        <v>410.37000000000006</v>
      </c>
      <c r="N20" s="33" t="s">
        <v>37</v>
      </c>
    </row>
    <row r="21" spans="1:14" x14ac:dyDescent="0.25">
      <c r="A21" s="1">
        <v>165</v>
      </c>
      <c r="B21" s="2" t="s">
        <v>32</v>
      </c>
      <c r="C21" s="2" t="s">
        <v>35</v>
      </c>
      <c r="D21" s="2">
        <v>72</v>
      </c>
      <c r="E21" s="2">
        <v>5</v>
      </c>
      <c r="F21" s="2" t="s">
        <v>15</v>
      </c>
      <c r="G21" s="5">
        <v>6.45</v>
      </c>
      <c r="H21" s="4">
        <v>100.68</v>
      </c>
      <c r="I21" s="25">
        <v>1431.6</v>
      </c>
      <c r="J21" s="9" t="s">
        <v>17</v>
      </c>
      <c r="L21" s="23">
        <f t="shared" si="0"/>
        <v>1330.9199999999998</v>
      </c>
      <c r="N21" s="21">
        <f>(10-9.5065+2.9721)*1000</f>
        <v>3465.5999999999995</v>
      </c>
    </row>
    <row r="22" spans="1:14" x14ac:dyDescent="0.25">
      <c r="K22" s="15" t="s">
        <v>7</v>
      </c>
      <c r="M22" s="19">
        <f>SUM(L19:L21)</f>
        <v>2525.9499999999998</v>
      </c>
    </row>
    <row r="23" spans="1:14" x14ac:dyDescent="0.25">
      <c r="A23" s="1">
        <v>166</v>
      </c>
      <c r="B23" s="2" t="s">
        <v>33</v>
      </c>
      <c r="C23" s="2" t="s">
        <v>34</v>
      </c>
      <c r="D23" s="2">
        <v>72</v>
      </c>
      <c r="E23" s="18" t="s">
        <v>36</v>
      </c>
      <c r="F23" s="2" t="s">
        <v>16</v>
      </c>
      <c r="H23" s="4">
        <v>101.8</v>
      </c>
      <c r="I23" s="25">
        <v>621.29999999999995</v>
      </c>
      <c r="J23" s="9" t="s">
        <v>18</v>
      </c>
      <c r="L23" s="23">
        <f t="shared" si="0"/>
        <v>519.5</v>
      </c>
    </row>
    <row r="24" spans="1:14" x14ac:dyDescent="0.25">
      <c r="A24" s="1">
        <v>167</v>
      </c>
      <c r="B24" s="2" t="s">
        <v>33</v>
      </c>
      <c r="C24" s="2" t="s">
        <v>34</v>
      </c>
      <c r="D24" s="2">
        <v>72</v>
      </c>
      <c r="E24" s="18" t="s">
        <v>36</v>
      </c>
      <c r="F24" s="2" t="s">
        <v>16</v>
      </c>
      <c r="H24" s="4">
        <v>97.58</v>
      </c>
      <c r="I24" s="25">
        <v>845.35</v>
      </c>
      <c r="J24" s="9" t="s">
        <v>18</v>
      </c>
      <c r="L24" s="23">
        <f t="shared" si="0"/>
        <v>747.77</v>
      </c>
    </row>
    <row r="25" spans="1:14" x14ac:dyDescent="0.25">
      <c r="A25" s="1">
        <v>168</v>
      </c>
      <c r="B25" s="2" t="s">
        <v>33</v>
      </c>
      <c r="C25" s="2" t="s">
        <v>34</v>
      </c>
      <c r="D25" s="2">
        <v>72</v>
      </c>
      <c r="E25" s="18" t="s">
        <v>36</v>
      </c>
      <c r="F25" s="2" t="s">
        <v>16</v>
      </c>
      <c r="H25" s="4">
        <v>102.53</v>
      </c>
      <c r="I25" s="25">
        <v>993.9</v>
      </c>
      <c r="J25" s="9" t="s">
        <v>17</v>
      </c>
      <c r="L25" s="23">
        <f t="shared" si="0"/>
        <v>891.37</v>
      </c>
      <c r="N25" s="33" t="s">
        <v>37</v>
      </c>
    </row>
    <row r="26" spans="1:14" x14ac:dyDescent="0.25">
      <c r="A26" s="1">
        <v>169</v>
      </c>
      <c r="B26" s="2" t="s">
        <v>33</v>
      </c>
      <c r="C26" s="2" t="s">
        <v>34</v>
      </c>
      <c r="D26" s="2">
        <v>72</v>
      </c>
      <c r="E26" s="18" t="s">
        <v>36</v>
      </c>
      <c r="F26" s="2" t="s">
        <v>16</v>
      </c>
      <c r="H26" s="4">
        <v>98.24</v>
      </c>
      <c r="I26" s="25">
        <v>2041.5</v>
      </c>
      <c r="J26" s="9" t="s">
        <v>17</v>
      </c>
      <c r="L26" s="23">
        <f t="shared" si="0"/>
        <v>1943.26</v>
      </c>
      <c r="N26" s="21">
        <f>(10-6.9826+2.9721)*1000</f>
        <v>5989.5000000000009</v>
      </c>
    </row>
    <row r="27" spans="1:14" x14ac:dyDescent="0.25">
      <c r="A27" s="1">
        <v>170</v>
      </c>
      <c r="B27" s="2" t="s">
        <v>33</v>
      </c>
      <c r="C27" s="2" t="s">
        <v>34</v>
      </c>
      <c r="D27" s="2">
        <v>72</v>
      </c>
      <c r="E27" s="18" t="s">
        <v>36</v>
      </c>
      <c r="F27" s="2" t="s">
        <v>16</v>
      </c>
      <c r="G27" s="5">
        <v>3.95</v>
      </c>
      <c r="H27" s="4">
        <v>103.27</v>
      </c>
      <c r="I27" s="25">
        <v>235.81</v>
      </c>
      <c r="J27" s="9" t="s">
        <v>17</v>
      </c>
      <c r="L27" s="23">
        <f t="shared" si="0"/>
        <v>132.54000000000002</v>
      </c>
    </row>
    <row r="28" spans="1:14" x14ac:dyDescent="0.25">
      <c r="K28" s="15" t="s">
        <v>7</v>
      </c>
      <c r="M28" s="19">
        <f>SUM(L25:L27)</f>
        <v>2967.17</v>
      </c>
    </row>
    <row r="29" spans="1:14" x14ac:dyDescent="0.25">
      <c r="A29" s="1">
        <v>173</v>
      </c>
      <c r="B29" s="2" t="s">
        <v>39</v>
      </c>
      <c r="C29" s="2" t="s">
        <v>40</v>
      </c>
      <c r="D29" s="2">
        <v>72</v>
      </c>
      <c r="E29" s="2">
        <v>12</v>
      </c>
      <c r="F29" s="2" t="s">
        <v>13</v>
      </c>
      <c r="H29" s="4">
        <v>98.89</v>
      </c>
      <c r="I29" s="25">
        <v>99.32</v>
      </c>
      <c r="J29" s="9" t="s">
        <v>18</v>
      </c>
      <c r="K29" s="8"/>
      <c r="L29" s="23">
        <f>+I29-H29</f>
        <v>0.42999999999999261</v>
      </c>
      <c r="M29" s="19"/>
      <c r="N29" s="33" t="s">
        <v>37</v>
      </c>
    </row>
    <row r="30" spans="1:14" x14ac:dyDescent="0.25">
      <c r="A30" s="1">
        <v>174</v>
      </c>
      <c r="B30" s="2" t="s">
        <v>39</v>
      </c>
      <c r="C30" s="2" t="s">
        <v>40</v>
      </c>
      <c r="D30" s="2">
        <v>72</v>
      </c>
      <c r="E30" s="2">
        <v>12</v>
      </c>
      <c r="F30" s="2" t="s">
        <v>13</v>
      </c>
      <c r="H30" s="4">
        <v>101.97</v>
      </c>
      <c r="I30" s="25">
        <v>239.3</v>
      </c>
      <c r="J30" s="9" t="s">
        <v>17</v>
      </c>
      <c r="K30" s="8"/>
      <c r="L30" s="23">
        <f>+I30-H30</f>
        <v>137.33000000000001</v>
      </c>
      <c r="M30" s="19"/>
      <c r="N30" s="21">
        <f>(10-11.011+1.77395)*1000</f>
        <v>762.95000000000073</v>
      </c>
    </row>
    <row r="31" spans="1:14" x14ac:dyDescent="0.25">
      <c r="K31" s="15" t="s">
        <v>7</v>
      </c>
      <c r="M31" s="19">
        <f>SUM(L29:L30)</f>
        <v>137.76</v>
      </c>
    </row>
    <row r="32" spans="1:14" x14ac:dyDescent="0.25">
      <c r="A32" s="1">
        <v>175</v>
      </c>
      <c r="B32" s="2" t="s">
        <v>41</v>
      </c>
      <c r="C32" s="2" t="s">
        <v>42</v>
      </c>
      <c r="D32" s="2">
        <v>72</v>
      </c>
      <c r="E32" s="2">
        <v>12</v>
      </c>
      <c r="F32" s="2" t="s">
        <v>13</v>
      </c>
      <c r="H32" s="4">
        <v>100.08</v>
      </c>
      <c r="I32" s="25">
        <v>101.48</v>
      </c>
      <c r="J32" s="9" t="s">
        <v>18</v>
      </c>
      <c r="K32" s="8"/>
      <c r="L32" s="23">
        <f>+I32-H32</f>
        <v>1.4000000000000057</v>
      </c>
      <c r="M32" s="19"/>
      <c r="N32" s="2" t="s">
        <v>38</v>
      </c>
    </row>
    <row r="33" spans="1:13" x14ac:dyDescent="0.25">
      <c r="A33" s="1">
        <v>176</v>
      </c>
      <c r="B33" s="2" t="s">
        <v>41</v>
      </c>
      <c r="C33" s="2" t="s">
        <v>42</v>
      </c>
      <c r="D33" s="2">
        <v>72</v>
      </c>
      <c r="E33" s="2">
        <v>12</v>
      </c>
      <c r="F33" s="2" t="s">
        <v>13</v>
      </c>
      <c r="H33" s="4">
        <v>100.71</v>
      </c>
      <c r="I33" s="25">
        <v>115.64</v>
      </c>
      <c r="J33" s="9" t="s">
        <v>17</v>
      </c>
      <c r="K33" s="8"/>
      <c r="L33" s="23">
        <f>+I33-H33</f>
        <v>14.930000000000007</v>
      </c>
      <c r="M33" s="19"/>
    </row>
    <row r="34" spans="1:13" x14ac:dyDescent="0.25">
      <c r="K34" s="15" t="s">
        <v>7</v>
      </c>
      <c r="M34" s="19">
        <f>SUM(L32:L33)</f>
        <v>16.330000000000013</v>
      </c>
    </row>
    <row r="35" spans="1:13" x14ac:dyDescent="0.25">
      <c r="A35" s="1">
        <v>177</v>
      </c>
      <c r="B35" s="2" t="s">
        <v>43</v>
      </c>
      <c r="C35" s="2" t="s">
        <v>50</v>
      </c>
      <c r="D35" s="2">
        <v>72</v>
      </c>
      <c r="E35" s="2" t="s">
        <v>44</v>
      </c>
      <c r="F35" s="2" t="s">
        <v>45</v>
      </c>
      <c r="H35" s="4">
        <v>102.29</v>
      </c>
      <c r="I35" s="25">
        <v>102.41</v>
      </c>
      <c r="J35" s="9" t="s">
        <v>18</v>
      </c>
      <c r="K35" s="8"/>
      <c r="L35" s="23">
        <f>+I35-H35</f>
        <v>0.11999999999999034</v>
      </c>
      <c r="M35" s="19"/>
    </row>
    <row r="36" spans="1:13" x14ac:dyDescent="0.25">
      <c r="A36" s="1">
        <v>178</v>
      </c>
      <c r="B36" s="2" t="s">
        <v>43</v>
      </c>
      <c r="C36" s="2" t="s">
        <v>50</v>
      </c>
      <c r="D36" s="2">
        <v>72</v>
      </c>
      <c r="E36" s="2" t="s">
        <v>44</v>
      </c>
      <c r="F36" s="2" t="s">
        <v>45</v>
      </c>
      <c r="G36" s="5">
        <v>9.98</v>
      </c>
      <c r="H36" s="4">
        <v>101.24</v>
      </c>
      <c r="I36" s="25">
        <v>101.63</v>
      </c>
      <c r="J36" s="9" t="s">
        <v>17</v>
      </c>
      <c r="K36" s="8"/>
      <c r="L36" s="23">
        <f>+I36-H36</f>
        <v>0.39000000000000057</v>
      </c>
      <c r="M36" s="19"/>
    </row>
    <row r="37" spans="1:13" x14ac:dyDescent="0.25">
      <c r="K37" s="15" t="s">
        <v>7</v>
      </c>
      <c r="M37" s="19">
        <f>SUM(L35:L36)</f>
        <v>0.50999999999999091</v>
      </c>
    </row>
    <row r="38" spans="1:13" x14ac:dyDescent="0.25">
      <c r="A38" s="1">
        <v>179</v>
      </c>
      <c r="B38" s="2" t="s">
        <v>46</v>
      </c>
      <c r="C38" s="2" t="s">
        <v>48</v>
      </c>
      <c r="D38" s="2">
        <v>72</v>
      </c>
      <c r="E38" s="2">
        <v>6</v>
      </c>
      <c r="F38" s="2" t="s">
        <v>13</v>
      </c>
      <c r="H38" s="4">
        <v>99.1</v>
      </c>
      <c r="I38" s="25">
        <v>99.73</v>
      </c>
      <c r="J38" s="9" t="s">
        <v>18</v>
      </c>
      <c r="L38" s="23">
        <f>+I38-H38</f>
        <v>0.63000000000000966</v>
      </c>
      <c r="M38" s="19"/>
    </row>
    <row r="39" spans="1:13" x14ac:dyDescent="0.25">
      <c r="A39" s="1">
        <v>180</v>
      </c>
      <c r="B39" s="2" t="s">
        <v>46</v>
      </c>
      <c r="C39" s="2" t="s">
        <v>48</v>
      </c>
      <c r="D39" s="2">
        <v>72</v>
      </c>
      <c r="E39" s="2">
        <v>6</v>
      </c>
      <c r="F39" s="2" t="s">
        <v>13</v>
      </c>
      <c r="G39" s="5">
        <v>9.6999999999999993</v>
      </c>
      <c r="H39" s="4">
        <v>102.48</v>
      </c>
      <c r="I39" s="25">
        <v>106.42</v>
      </c>
      <c r="J39" s="9" t="s">
        <v>17</v>
      </c>
      <c r="L39" s="23">
        <f>+I39-H39</f>
        <v>3.9399999999999977</v>
      </c>
      <c r="M39" s="19"/>
    </row>
    <row r="40" spans="1:13" x14ac:dyDescent="0.25">
      <c r="K40" s="15" t="s">
        <v>7</v>
      </c>
      <c r="M40" s="19">
        <f>SUM(L38:L39)</f>
        <v>4.5700000000000074</v>
      </c>
    </row>
    <row r="41" spans="1:13" x14ac:dyDescent="0.25">
      <c r="A41" s="1">
        <v>181</v>
      </c>
      <c r="B41" s="2" t="s">
        <v>49</v>
      </c>
      <c r="C41" s="2" t="s">
        <v>47</v>
      </c>
      <c r="D41" s="2">
        <v>72</v>
      </c>
      <c r="E41" s="2">
        <v>4</v>
      </c>
      <c r="F41" s="2" t="s">
        <v>53</v>
      </c>
      <c r="H41" s="4">
        <v>101.88</v>
      </c>
      <c r="I41" s="25">
        <v>103.66</v>
      </c>
      <c r="J41" s="9" t="s">
        <v>18</v>
      </c>
      <c r="K41" s="8"/>
      <c r="L41" s="23">
        <f>+I41-H41</f>
        <v>1.7800000000000011</v>
      </c>
      <c r="M41" s="19"/>
    </row>
    <row r="42" spans="1:13" x14ac:dyDescent="0.25">
      <c r="A42" s="1">
        <v>182</v>
      </c>
      <c r="B42" s="2" t="s">
        <v>49</v>
      </c>
      <c r="C42" s="2" t="s">
        <v>47</v>
      </c>
      <c r="D42" s="2">
        <v>72</v>
      </c>
      <c r="E42" s="2">
        <v>4</v>
      </c>
      <c r="F42" s="2" t="s">
        <v>53</v>
      </c>
      <c r="H42" s="4">
        <v>97.02</v>
      </c>
      <c r="I42" s="25">
        <v>112.58</v>
      </c>
      <c r="J42" s="9" t="s">
        <v>17</v>
      </c>
      <c r="K42" s="8"/>
      <c r="L42" s="23">
        <f>+I42-H42</f>
        <v>15.560000000000002</v>
      </c>
      <c r="M42" s="19"/>
    </row>
    <row r="43" spans="1:13" x14ac:dyDescent="0.25">
      <c r="K43" s="15" t="s">
        <v>7</v>
      </c>
      <c r="M43" s="19">
        <f>SUM(L41:L42)</f>
        <v>17.340000000000003</v>
      </c>
    </row>
    <row r="44" spans="1:13" x14ac:dyDescent="0.25">
      <c r="A44" s="1">
        <v>183</v>
      </c>
      <c r="B44" s="2" t="s">
        <v>51</v>
      </c>
      <c r="C44" s="2" t="s">
        <v>52</v>
      </c>
      <c r="D44" s="2">
        <v>72</v>
      </c>
      <c r="E44" s="2">
        <v>13</v>
      </c>
      <c r="F44" s="2" t="s">
        <v>13</v>
      </c>
      <c r="H44" s="4">
        <v>101.85</v>
      </c>
      <c r="I44" s="25">
        <v>103</v>
      </c>
      <c r="J44" s="9" t="s">
        <v>18</v>
      </c>
      <c r="K44" s="8"/>
      <c r="L44" s="23">
        <f>+I44-H44</f>
        <v>1.1500000000000057</v>
      </c>
      <c r="M44" s="19"/>
    </row>
    <row r="45" spans="1:13" x14ac:dyDescent="0.25">
      <c r="A45" s="1">
        <v>184</v>
      </c>
      <c r="B45" s="2" t="s">
        <v>51</v>
      </c>
      <c r="C45" s="2" t="s">
        <v>52</v>
      </c>
      <c r="D45" s="2">
        <v>72</v>
      </c>
      <c r="E45" s="2">
        <v>13</v>
      </c>
      <c r="F45" s="2" t="s">
        <v>13</v>
      </c>
      <c r="H45" s="4">
        <v>97.9</v>
      </c>
      <c r="I45" s="25">
        <v>113.37</v>
      </c>
      <c r="J45" s="9" t="s">
        <v>17</v>
      </c>
      <c r="K45" s="8"/>
      <c r="L45" s="23">
        <f>+I45-H45</f>
        <v>15.469999999999999</v>
      </c>
      <c r="M45" s="19"/>
    </row>
    <row r="46" spans="1:13" x14ac:dyDescent="0.25">
      <c r="K46" s="15" t="s">
        <v>7</v>
      </c>
      <c r="M46" s="19">
        <f>SUM(L44:L45)</f>
        <v>16.620000000000005</v>
      </c>
    </row>
    <row r="47" spans="1:13" x14ac:dyDescent="0.25">
      <c r="A47" s="1">
        <v>207</v>
      </c>
      <c r="B47" s="2" t="s">
        <v>77</v>
      </c>
      <c r="C47" s="2" t="s">
        <v>73</v>
      </c>
      <c r="E47" s="29"/>
      <c r="K47" s="8"/>
      <c r="L47" s="23"/>
      <c r="M47" s="19"/>
    </row>
    <row r="48" spans="1:13" x14ac:dyDescent="0.25">
      <c r="A48" s="1">
        <v>208</v>
      </c>
      <c r="B48" s="2" t="s">
        <v>78</v>
      </c>
      <c r="C48" s="2" t="s">
        <v>73</v>
      </c>
      <c r="E48" s="29"/>
      <c r="K48" s="8"/>
      <c r="L48" s="23"/>
      <c r="M48" s="19"/>
    </row>
    <row r="49" spans="1:14" x14ac:dyDescent="0.25">
      <c r="K49" s="15"/>
      <c r="M49" s="19"/>
    </row>
    <row r="50" spans="1:14" x14ac:dyDescent="0.25">
      <c r="A50" s="1">
        <v>209</v>
      </c>
      <c r="B50" s="2" t="s">
        <v>62</v>
      </c>
      <c r="C50" s="2" t="s">
        <v>66</v>
      </c>
      <c r="D50" s="2">
        <v>72</v>
      </c>
      <c r="E50" s="29" t="s">
        <v>63</v>
      </c>
      <c r="F50" s="2" t="s">
        <v>89</v>
      </c>
      <c r="H50" s="4">
        <v>101.29</v>
      </c>
      <c r="I50" s="25">
        <v>103.08</v>
      </c>
      <c r="J50" s="5" t="s">
        <v>18</v>
      </c>
      <c r="K50" s="8"/>
      <c r="L50" s="23">
        <f>+I50-H50</f>
        <v>1.789999999999992</v>
      </c>
      <c r="M50" s="19"/>
    </row>
    <row r="51" spans="1:14" x14ac:dyDescent="0.25">
      <c r="A51" s="1">
        <v>210</v>
      </c>
      <c r="B51" s="2" t="s">
        <v>62</v>
      </c>
      <c r="C51" s="2" t="s">
        <v>66</v>
      </c>
      <c r="D51" s="2">
        <v>72</v>
      </c>
      <c r="E51" s="29" t="s">
        <v>63</v>
      </c>
      <c r="F51" s="2" t="s">
        <v>89</v>
      </c>
      <c r="G51" s="5">
        <v>9.8800000000000008</v>
      </c>
      <c r="H51" s="4">
        <v>99.4</v>
      </c>
      <c r="I51" s="25">
        <v>106.41</v>
      </c>
      <c r="J51" s="5" t="s">
        <v>17</v>
      </c>
      <c r="K51" s="8"/>
      <c r="L51" s="23">
        <f>+I51-H51</f>
        <v>7.0099999999999909</v>
      </c>
      <c r="M51" s="19"/>
    </row>
    <row r="52" spans="1:14" x14ac:dyDescent="0.25">
      <c r="K52" s="15" t="s">
        <v>7</v>
      </c>
      <c r="M52" s="19">
        <f>SUM(L50:L51)</f>
        <v>8.7999999999999829</v>
      </c>
    </row>
    <row r="53" spans="1:14" x14ac:dyDescent="0.25">
      <c r="A53" s="1">
        <v>211</v>
      </c>
      <c r="B53" s="2" t="s">
        <v>62</v>
      </c>
      <c r="C53" s="2" t="s">
        <v>65</v>
      </c>
      <c r="D53" s="2">
        <v>72</v>
      </c>
      <c r="E53" s="29" t="s">
        <v>63</v>
      </c>
      <c r="F53" s="2" t="s">
        <v>89</v>
      </c>
      <c r="H53" s="4">
        <v>97.01</v>
      </c>
      <c r="I53" s="25">
        <v>98.67</v>
      </c>
      <c r="J53" s="5" t="s">
        <v>18</v>
      </c>
      <c r="K53" s="8"/>
      <c r="L53" s="23">
        <f>+I53-H53</f>
        <v>1.6599999999999966</v>
      </c>
      <c r="M53" s="19"/>
    </row>
    <row r="54" spans="1:14" x14ac:dyDescent="0.25">
      <c r="A54" s="1">
        <v>212</v>
      </c>
      <c r="B54" s="2" t="s">
        <v>62</v>
      </c>
      <c r="C54" s="2" t="s">
        <v>65</v>
      </c>
      <c r="D54" s="2">
        <v>72</v>
      </c>
      <c r="E54" s="29" t="s">
        <v>63</v>
      </c>
      <c r="F54" s="2" t="s">
        <v>89</v>
      </c>
      <c r="G54" s="5">
        <v>9.76</v>
      </c>
      <c r="H54" s="4">
        <v>102.53</v>
      </c>
      <c r="I54" s="25">
        <v>111.2</v>
      </c>
      <c r="J54" s="5" t="s">
        <v>17</v>
      </c>
      <c r="K54" s="8"/>
      <c r="L54" s="23">
        <f>+I54-H54</f>
        <v>8.6700000000000017</v>
      </c>
      <c r="M54" s="19"/>
    </row>
    <row r="55" spans="1:14" x14ac:dyDescent="0.25">
      <c r="K55" s="15" t="s">
        <v>7</v>
      </c>
      <c r="M55" s="19">
        <f>SUM(L53:L54)</f>
        <v>10.329999999999998</v>
      </c>
    </row>
    <row r="56" spans="1:14" x14ac:dyDescent="0.25">
      <c r="A56" s="1">
        <v>213</v>
      </c>
      <c r="B56" s="2" t="s">
        <v>62</v>
      </c>
      <c r="C56" s="2" t="s">
        <v>64</v>
      </c>
      <c r="D56" s="2">
        <v>72</v>
      </c>
      <c r="E56" s="29" t="s">
        <v>63</v>
      </c>
      <c r="F56" s="2" t="s">
        <v>89</v>
      </c>
      <c r="H56" s="4">
        <v>102.92</v>
      </c>
      <c r="I56" s="25">
        <v>105.62</v>
      </c>
      <c r="J56" s="5" t="s">
        <v>18</v>
      </c>
      <c r="K56" s="8"/>
      <c r="L56" s="23">
        <f>+I56-H56</f>
        <v>2.7000000000000028</v>
      </c>
      <c r="M56" s="19"/>
    </row>
    <row r="57" spans="1:14" x14ac:dyDescent="0.25">
      <c r="A57" s="1">
        <v>214</v>
      </c>
      <c r="B57" s="2" t="s">
        <v>62</v>
      </c>
      <c r="C57" s="2" t="s">
        <v>64</v>
      </c>
      <c r="D57" s="2">
        <v>72</v>
      </c>
      <c r="E57" s="29" t="s">
        <v>63</v>
      </c>
      <c r="F57" s="2" t="s">
        <v>89</v>
      </c>
      <c r="G57" s="5">
        <v>9.86</v>
      </c>
      <c r="H57" s="4">
        <v>100.64</v>
      </c>
      <c r="I57" s="25">
        <v>110.18</v>
      </c>
      <c r="J57" s="5" t="s">
        <v>17</v>
      </c>
      <c r="K57" s="8"/>
      <c r="L57" s="23">
        <f>+I57-H57</f>
        <v>9.5400000000000063</v>
      </c>
      <c r="M57" s="19"/>
    </row>
    <row r="58" spans="1:14" x14ac:dyDescent="0.25">
      <c r="K58" s="15" t="s">
        <v>7</v>
      </c>
      <c r="M58" s="19">
        <f>SUM(L56:L57)</f>
        <v>12.240000000000009</v>
      </c>
    </row>
    <row r="59" spans="1:14" x14ac:dyDescent="0.25">
      <c r="A59" s="1">
        <v>215</v>
      </c>
      <c r="B59" s="2" t="s">
        <v>62</v>
      </c>
      <c r="C59" s="2" t="s">
        <v>67</v>
      </c>
      <c r="D59" s="2">
        <v>72</v>
      </c>
      <c r="E59" s="29" t="s">
        <v>63</v>
      </c>
      <c r="F59" s="2" t="s">
        <v>89</v>
      </c>
      <c r="H59" s="4">
        <v>99.19</v>
      </c>
      <c r="I59" s="25">
        <v>102.69</v>
      </c>
      <c r="J59" s="5" t="s">
        <v>18</v>
      </c>
      <c r="K59" s="8"/>
      <c r="L59" s="23">
        <f>+I59-H59</f>
        <v>3.5</v>
      </c>
      <c r="M59" s="19"/>
    </row>
    <row r="60" spans="1:14" x14ac:dyDescent="0.25">
      <c r="A60" s="1">
        <v>216</v>
      </c>
      <c r="B60" s="2" t="s">
        <v>62</v>
      </c>
      <c r="C60" s="2" t="s">
        <v>67</v>
      </c>
      <c r="D60" s="2">
        <v>72</v>
      </c>
      <c r="E60" s="29" t="s">
        <v>63</v>
      </c>
      <c r="F60" s="2" t="s">
        <v>89</v>
      </c>
      <c r="G60" s="5">
        <v>9.73</v>
      </c>
      <c r="H60" s="4">
        <v>103.54</v>
      </c>
      <c r="I60" s="25">
        <v>119.34</v>
      </c>
      <c r="J60" s="5" t="s">
        <v>17</v>
      </c>
      <c r="K60" s="8"/>
      <c r="L60" s="23">
        <f>+I60-H60</f>
        <v>15.799999999999997</v>
      </c>
      <c r="M60" s="19"/>
    </row>
    <row r="61" spans="1:14" x14ac:dyDescent="0.25">
      <c r="E61" s="29"/>
      <c r="K61" s="15" t="s">
        <v>7</v>
      </c>
      <c r="M61" s="19">
        <f>SUM(L59:L60)</f>
        <v>19.299999999999997</v>
      </c>
    </row>
    <row r="62" spans="1:14" x14ac:dyDescent="0.25">
      <c r="A62" s="1">
        <v>219</v>
      </c>
      <c r="B62" s="2" t="s">
        <v>80</v>
      </c>
      <c r="C62" s="2" t="s">
        <v>79</v>
      </c>
      <c r="D62" s="2">
        <v>72</v>
      </c>
      <c r="E62" s="29" t="s">
        <v>82</v>
      </c>
      <c r="F62" s="2" t="s">
        <v>83</v>
      </c>
      <c r="H62" s="4">
        <v>102.81</v>
      </c>
      <c r="I62" s="25">
        <v>332.98</v>
      </c>
      <c r="J62" s="5" t="s">
        <v>18</v>
      </c>
      <c r="L62" s="23">
        <f t="shared" ref="L62:L65" si="1">+I62-H62</f>
        <v>230.17000000000002</v>
      </c>
    </row>
    <row r="63" spans="1:14" x14ac:dyDescent="0.25">
      <c r="A63" s="1">
        <v>220</v>
      </c>
      <c r="B63" s="2" t="s">
        <v>80</v>
      </c>
      <c r="C63" s="2" t="s">
        <v>79</v>
      </c>
      <c r="D63" s="2">
        <v>72</v>
      </c>
      <c r="E63" s="29" t="s">
        <v>82</v>
      </c>
      <c r="F63" s="2" t="s">
        <v>83</v>
      </c>
      <c r="H63" s="4">
        <v>104.26</v>
      </c>
      <c r="I63" s="25">
        <v>1151.98</v>
      </c>
      <c r="J63" s="5" t="s">
        <v>18</v>
      </c>
      <c r="L63" s="23">
        <f t="shared" si="1"/>
        <v>1047.72</v>
      </c>
    </row>
    <row r="64" spans="1:14" x14ac:dyDescent="0.25">
      <c r="A64" s="1">
        <v>221</v>
      </c>
      <c r="B64" s="2" t="s">
        <v>80</v>
      </c>
      <c r="C64" s="2" t="s">
        <v>79</v>
      </c>
      <c r="D64" s="2">
        <v>72</v>
      </c>
      <c r="E64" s="29" t="s">
        <v>82</v>
      </c>
      <c r="F64" s="2" t="s">
        <v>83</v>
      </c>
      <c r="H64" s="4">
        <v>101.97</v>
      </c>
      <c r="I64" s="25">
        <v>1106.9000000000001</v>
      </c>
      <c r="J64" s="5" t="s">
        <v>17</v>
      </c>
      <c r="L64" s="23">
        <f t="shared" si="1"/>
        <v>1004.9300000000001</v>
      </c>
      <c r="N64" s="33" t="s">
        <v>37</v>
      </c>
    </row>
    <row r="65" spans="1:42" x14ac:dyDescent="0.25">
      <c r="A65" s="1">
        <v>222</v>
      </c>
      <c r="B65" s="2" t="s">
        <v>80</v>
      </c>
      <c r="C65" s="2" t="s">
        <v>79</v>
      </c>
      <c r="D65" s="2">
        <v>72</v>
      </c>
      <c r="E65" s="29" t="s">
        <v>82</v>
      </c>
      <c r="F65" s="2" t="s">
        <v>83</v>
      </c>
      <c r="G65" s="44">
        <v>3.9980000000000002</v>
      </c>
      <c r="H65" s="4">
        <v>103.76</v>
      </c>
      <c r="I65" s="25">
        <v>2859.77</v>
      </c>
      <c r="J65" s="5" t="s">
        <v>17</v>
      </c>
      <c r="L65" s="23">
        <f t="shared" si="1"/>
        <v>2756.0099999999998</v>
      </c>
      <c r="N65" s="32">
        <f>(10-3.998)*1000</f>
        <v>6002</v>
      </c>
    </row>
    <row r="66" spans="1:42" x14ac:dyDescent="0.25">
      <c r="K66" s="15" t="s">
        <v>7</v>
      </c>
      <c r="M66" s="19">
        <f>SUM(L62:L65)</f>
        <v>5038.83</v>
      </c>
      <c r="N66" s="34" t="s">
        <v>127</v>
      </c>
    </row>
    <row r="67" spans="1:42" x14ac:dyDescent="0.25">
      <c r="A67" s="1">
        <v>223</v>
      </c>
      <c r="B67" s="2" t="s">
        <v>39</v>
      </c>
      <c r="C67" s="2" t="s">
        <v>81</v>
      </c>
      <c r="D67" s="2">
        <v>72</v>
      </c>
      <c r="E67" s="2">
        <v>11</v>
      </c>
      <c r="F67" s="2" t="s">
        <v>84</v>
      </c>
      <c r="H67" s="4">
        <v>104.13</v>
      </c>
      <c r="I67" s="25">
        <v>120.31</v>
      </c>
      <c r="J67" s="5" t="s">
        <v>18</v>
      </c>
      <c r="K67" s="8"/>
      <c r="L67" s="23">
        <f>+I67-H67</f>
        <v>16.180000000000007</v>
      </c>
      <c r="M67" s="19"/>
      <c r="N67" s="33" t="s">
        <v>85</v>
      </c>
    </row>
    <row r="68" spans="1:42" x14ac:dyDescent="0.25">
      <c r="A68" s="1">
        <v>224</v>
      </c>
      <c r="B68" s="2" t="s">
        <v>39</v>
      </c>
      <c r="C68" s="2" t="s">
        <v>81</v>
      </c>
      <c r="D68" s="2">
        <v>72</v>
      </c>
      <c r="E68" s="2">
        <v>11</v>
      </c>
      <c r="F68" s="2" t="s">
        <v>84</v>
      </c>
      <c r="H68" s="4">
        <v>101.31</v>
      </c>
      <c r="I68" s="25">
        <v>285.02</v>
      </c>
      <c r="J68" s="5" t="s">
        <v>17</v>
      </c>
      <c r="K68" s="8"/>
      <c r="L68" s="23">
        <f>+I68-H68</f>
        <v>183.70999999999998</v>
      </c>
      <c r="M68" s="19"/>
    </row>
    <row r="69" spans="1:42" x14ac:dyDescent="0.25">
      <c r="K69" s="15" t="s">
        <v>7</v>
      </c>
      <c r="M69" s="19">
        <f>SUM(L67:L68)</f>
        <v>199.89</v>
      </c>
    </row>
    <row r="70" spans="1:42" x14ac:dyDescent="0.25">
      <c r="A70" s="1">
        <v>225</v>
      </c>
      <c r="B70" s="2" t="s">
        <v>41</v>
      </c>
      <c r="C70" s="2" t="s">
        <v>86</v>
      </c>
      <c r="D70" s="2">
        <v>72</v>
      </c>
      <c r="E70" s="2">
        <v>5</v>
      </c>
      <c r="F70" s="2" t="s">
        <v>84</v>
      </c>
      <c r="H70" s="4">
        <v>104.72</v>
      </c>
      <c r="I70" s="25">
        <v>109.43</v>
      </c>
      <c r="J70" s="5" t="s">
        <v>18</v>
      </c>
      <c r="K70" s="8"/>
      <c r="L70" s="23">
        <f>+I70-H70</f>
        <v>4.710000000000008</v>
      </c>
      <c r="M70" s="19"/>
      <c r="N70" s="33" t="s">
        <v>85</v>
      </c>
    </row>
    <row r="71" spans="1:42" x14ac:dyDescent="0.25">
      <c r="A71" s="1">
        <v>226</v>
      </c>
      <c r="B71" s="2" t="s">
        <v>41</v>
      </c>
      <c r="C71" s="2" t="s">
        <v>86</v>
      </c>
      <c r="D71" s="2">
        <v>72</v>
      </c>
      <c r="E71" s="2">
        <v>5</v>
      </c>
      <c r="F71" s="2" t="s">
        <v>84</v>
      </c>
      <c r="H71" s="4">
        <v>103.32</v>
      </c>
      <c r="I71" s="25">
        <v>149.68</v>
      </c>
      <c r="J71" s="5" t="s">
        <v>17</v>
      </c>
      <c r="K71" s="8"/>
      <c r="L71" s="23">
        <f>+I71-H71</f>
        <v>46.360000000000014</v>
      </c>
      <c r="M71" s="19"/>
    </row>
    <row r="72" spans="1:42" x14ac:dyDescent="0.25">
      <c r="K72" s="15" t="s">
        <v>7</v>
      </c>
      <c r="M72" s="19">
        <f>SUM(L70:L71)</f>
        <v>51.070000000000022</v>
      </c>
    </row>
    <row r="73" spans="1:42" x14ac:dyDescent="0.25">
      <c r="A73" s="1">
        <v>227</v>
      </c>
      <c r="B73" s="2" t="s">
        <v>87</v>
      </c>
      <c r="C73" s="2" t="s">
        <v>88</v>
      </c>
      <c r="D73" s="2">
        <v>72</v>
      </c>
      <c r="E73" s="2">
        <v>7</v>
      </c>
      <c r="F73" s="2" t="s">
        <v>84</v>
      </c>
      <c r="H73" s="4">
        <v>104.82</v>
      </c>
      <c r="I73" s="25">
        <v>119.03</v>
      </c>
      <c r="J73" s="5" t="s">
        <v>18</v>
      </c>
      <c r="K73" s="8"/>
      <c r="L73" s="23">
        <f>+I73-H73</f>
        <v>14.210000000000008</v>
      </c>
      <c r="M73" s="19"/>
    </row>
    <row r="74" spans="1:42" x14ac:dyDescent="0.25">
      <c r="A74" s="1">
        <v>228</v>
      </c>
      <c r="B74" s="2" t="s">
        <v>87</v>
      </c>
      <c r="C74" s="2" t="s">
        <v>88</v>
      </c>
      <c r="D74" s="2">
        <v>72</v>
      </c>
      <c r="E74" s="2">
        <v>7</v>
      </c>
      <c r="F74" s="2" t="s">
        <v>84</v>
      </c>
      <c r="H74" s="4">
        <v>102.93</v>
      </c>
      <c r="I74" s="25">
        <v>239.68</v>
      </c>
      <c r="J74" s="5" t="s">
        <v>17</v>
      </c>
      <c r="K74" s="8"/>
      <c r="L74" s="23">
        <f>+I74-H74</f>
        <v>136.75</v>
      </c>
      <c r="M74" s="19"/>
    </row>
    <row r="75" spans="1:42" x14ac:dyDescent="0.25">
      <c r="K75" s="15" t="s">
        <v>7</v>
      </c>
      <c r="M75" s="19">
        <f>SUM(L73:L74)</f>
        <v>150.96</v>
      </c>
    </row>
    <row r="76" spans="1:42" x14ac:dyDescent="0.25">
      <c r="A76" s="1">
        <v>229</v>
      </c>
      <c r="B76" s="2" t="s">
        <v>90</v>
      </c>
      <c r="C76" s="2" t="s">
        <v>91</v>
      </c>
      <c r="D76" s="2">
        <v>72</v>
      </c>
      <c r="E76" s="29" t="s">
        <v>92</v>
      </c>
      <c r="F76" s="2" t="s">
        <v>93</v>
      </c>
      <c r="H76" s="4">
        <v>99.07</v>
      </c>
      <c r="I76" s="25">
        <v>106.85</v>
      </c>
      <c r="J76" s="5" t="s">
        <v>18</v>
      </c>
      <c r="K76" s="8"/>
      <c r="L76" s="23">
        <f>+I76-H76</f>
        <v>7.7800000000000011</v>
      </c>
      <c r="M76" s="19"/>
    </row>
    <row r="77" spans="1:42" x14ac:dyDescent="0.25">
      <c r="A77" s="1">
        <v>230</v>
      </c>
      <c r="B77" s="2" t="s">
        <v>90</v>
      </c>
      <c r="C77" s="2" t="s">
        <v>91</v>
      </c>
      <c r="D77" s="2">
        <v>72</v>
      </c>
      <c r="E77" s="29" t="s">
        <v>92</v>
      </c>
      <c r="F77" s="2" t="s">
        <v>93</v>
      </c>
      <c r="H77" s="4">
        <v>103.08</v>
      </c>
      <c r="I77" s="25">
        <v>113.85</v>
      </c>
      <c r="J77" s="5" t="s">
        <v>17</v>
      </c>
      <c r="K77" s="8"/>
      <c r="L77" s="23">
        <f>+I77-H77</f>
        <v>10.769999999999996</v>
      </c>
      <c r="M77" s="19"/>
    </row>
    <row r="78" spans="1:42" x14ac:dyDescent="0.25">
      <c r="K78" s="15" t="s">
        <v>7</v>
      </c>
      <c r="M78" s="19">
        <f>SUM(L76:L77)</f>
        <v>18.549999999999997</v>
      </c>
      <c r="S78" s="36" t="s">
        <v>101</v>
      </c>
      <c r="T78" s="36" t="s">
        <v>101</v>
      </c>
      <c r="U78" s="36" t="s">
        <v>102</v>
      </c>
    </row>
    <row r="79" spans="1:42" x14ac:dyDescent="0.25">
      <c r="A79" s="1">
        <v>231</v>
      </c>
      <c r="B79" s="2" t="s">
        <v>130</v>
      </c>
      <c r="C79" s="2" t="s">
        <v>94</v>
      </c>
      <c r="D79" s="2">
        <v>1</v>
      </c>
      <c r="E79" s="2">
        <v>7</v>
      </c>
      <c r="F79" s="2" t="s">
        <v>84</v>
      </c>
      <c r="H79" s="4">
        <v>99.08</v>
      </c>
      <c r="I79" s="25">
        <v>99.44</v>
      </c>
      <c r="L79" s="23">
        <f t="shared" ref="L79:L85" si="2">+I79-H79</f>
        <v>0.35999999999999943</v>
      </c>
      <c r="N79" s="33" t="s">
        <v>99</v>
      </c>
      <c r="S79">
        <v>0.35999999999999943</v>
      </c>
      <c r="T79">
        <f>+S79</f>
        <v>0.35999999999999943</v>
      </c>
      <c r="U79">
        <v>1</v>
      </c>
      <c r="AE79" s="46" t="s">
        <v>158</v>
      </c>
      <c r="AF79" s="46"/>
      <c r="AI79" s="47" t="s">
        <v>166</v>
      </c>
      <c r="AJ79" s="47"/>
      <c r="AL79" s="47" t="s">
        <v>165</v>
      </c>
      <c r="AM79" s="47"/>
      <c r="AO79" s="46" t="s">
        <v>158</v>
      </c>
      <c r="AP79" s="46"/>
    </row>
    <row r="80" spans="1:42" x14ac:dyDescent="0.25">
      <c r="A80" s="1">
        <v>232</v>
      </c>
      <c r="B80" s="2" t="s">
        <v>130</v>
      </c>
      <c r="C80" s="2" t="s">
        <v>94</v>
      </c>
      <c r="D80" s="2">
        <v>2</v>
      </c>
      <c r="E80" s="2">
        <v>7</v>
      </c>
      <c r="F80" s="2" t="s">
        <v>84</v>
      </c>
      <c r="H80" s="4">
        <v>102.77</v>
      </c>
      <c r="I80" s="25">
        <v>103.32</v>
      </c>
      <c r="L80" s="23">
        <f t="shared" si="2"/>
        <v>0.54999999999999716</v>
      </c>
      <c r="S80">
        <v>0.54999999999999716</v>
      </c>
      <c r="T80">
        <f>+S79+S80</f>
        <v>0.90999999999999659</v>
      </c>
      <c r="U80">
        <v>3</v>
      </c>
      <c r="AE80" s="36" t="s">
        <v>101</v>
      </c>
      <c r="AF80" s="36" t="s">
        <v>102</v>
      </c>
      <c r="AI80" s="26" t="s">
        <v>163</v>
      </c>
      <c r="AJ80" s="26" t="s">
        <v>102</v>
      </c>
      <c r="AL80" s="26" t="s">
        <v>163</v>
      </c>
      <c r="AM80" s="26" t="s">
        <v>102</v>
      </c>
      <c r="AO80" s="43" t="s">
        <v>163</v>
      </c>
      <c r="AP80" s="43" t="s">
        <v>102</v>
      </c>
    </row>
    <row r="81" spans="1:42" x14ac:dyDescent="0.25">
      <c r="A81" s="1">
        <v>233</v>
      </c>
      <c r="B81" s="2" t="s">
        <v>130</v>
      </c>
      <c r="C81" s="2" t="s">
        <v>95</v>
      </c>
      <c r="D81" s="2">
        <v>4</v>
      </c>
      <c r="E81" s="2">
        <v>7</v>
      </c>
      <c r="F81" s="2" t="s">
        <v>84</v>
      </c>
      <c r="H81" s="4">
        <v>100.64</v>
      </c>
      <c r="I81" s="25">
        <v>101.24</v>
      </c>
      <c r="L81" s="23">
        <f t="shared" si="2"/>
        <v>0.59999999999999432</v>
      </c>
      <c r="S81">
        <v>0.59999999999999432</v>
      </c>
      <c r="T81">
        <f t="shared" ref="T81:T86" si="3">+T80+S81</f>
        <v>1.5099999999999909</v>
      </c>
      <c r="U81">
        <v>7</v>
      </c>
      <c r="AE81">
        <v>7</v>
      </c>
      <c r="AF81">
        <v>1</v>
      </c>
      <c r="AI81">
        <f>3.32/100</f>
        <v>3.32E-2</v>
      </c>
      <c r="AJ81">
        <v>1</v>
      </c>
      <c r="AL81">
        <f>2.04/100</f>
        <v>2.0400000000000001E-2</v>
      </c>
      <c r="AM81">
        <v>1</v>
      </c>
      <c r="AO81">
        <v>7.0000000000000007E-2</v>
      </c>
      <c r="AP81">
        <v>1</v>
      </c>
    </row>
    <row r="82" spans="1:42" x14ac:dyDescent="0.25">
      <c r="A82" s="1">
        <v>234</v>
      </c>
      <c r="B82" s="2" t="s">
        <v>130</v>
      </c>
      <c r="C82" s="2" t="s">
        <v>96</v>
      </c>
      <c r="D82" s="2">
        <v>8</v>
      </c>
      <c r="E82" s="2">
        <v>7</v>
      </c>
      <c r="F82" s="2" t="s">
        <v>84</v>
      </c>
      <c r="H82" s="4">
        <v>100.29</v>
      </c>
      <c r="I82" s="25">
        <v>105.15</v>
      </c>
      <c r="L82" s="23">
        <f t="shared" si="2"/>
        <v>4.8599999999999994</v>
      </c>
      <c r="S82">
        <v>4.8599999999999994</v>
      </c>
      <c r="T82">
        <f t="shared" si="3"/>
        <v>6.3699999999999903</v>
      </c>
      <c r="U82">
        <v>15</v>
      </c>
      <c r="AE82">
        <v>12</v>
      </c>
      <c r="AF82">
        <v>2</v>
      </c>
      <c r="AI82">
        <f>8.04/100</f>
        <v>8.0399999999999985E-2</v>
      </c>
      <c r="AJ82">
        <v>3</v>
      </c>
      <c r="AL82">
        <f>6.58/100</f>
        <v>6.5799999999999997E-2</v>
      </c>
      <c r="AM82">
        <v>3</v>
      </c>
      <c r="AO82">
        <v>0.12</v>
      </c>
      <c r="AP82">
        <v>2</v>
      </c>
    </row>
    <row r="83" spans="1:42" x14ac:dyDescent="0.25">
      <c r="A83" s="1">
        <v>235</v>
      </c>
      <c r="B83" s="2" t="s">
        <v>130</v>
      </c>
      <c r="C83" s="2" t="s">
        <v>97</v>
      </c>
      <c r="D83" s="2">
        <v>16</v>
      </c>
      <c r="E83" s="2">
        <v>7</v>
      </c>
      <c r="F83" s="2" t="s">
        <v>84</v>
      </c>
      <c r="H83" s="4">
        <v>100.48</v>
      </c>
      <c r="I83" s="25">
        <v>101.62</v>
      </c>
      <c r="L83" s="23">
        <f t="shared" si="2"/>
        <v>1.1400000000000006</v>
      </c>
      <c r="S83">
        <v>1.1400000000000006</v>
      </c>
      <c r="T83">
        <f t="shared" si="3"/>
        <v>7.5099999999999909</v>
      </c>
      <c r="U83">
        <v>31</v>
      </c>
      <c r="AE83">
        <v>18</v>
      </c>
      <c r="AF83">
        <v>4</v>
      </c>
      <c r="AI83">
        <f>14.36/100</f>
        <v>0.14360000000000001</v>
      </c>
      <c r="AJ83">
        <v>7</v>
      </c>
      <c r="AL83">
        <f>13.41/100</f>
        <v>0.1341</v>
      </c>
      <c r="AM83">
        <v>7</v>
      </c>
      <c r="AO83">
        <v>0.18</v>
      </c>
      <c r="AP83">
        <v>4</v>
      </c>
    </row>
    <row r="84" spans="1:42" x14ac:dyDescent="0.25">
      <c r="A84" s="1">
        <v>236</v>
      </c>
      <c r="B84" s="2" t="s">
        <v>130</v>
      </c>
      <c r="C84" s="2" t="s">
        <v>98</v>
      </c>
      <c r="D84" s="2">
        <v>32</v>
      </c>
      <c r="E84" s="2">
        <v>7</v>
      </c>
      <c r="F84" s="2" t="s">
        <v>84</v>
      </c>
      <c r="H84" s="4">
        <v>102.92</v>
      </c>
      <c r="I84" s="25">
        <v>104.03</v>
      </c>
      <c r="L84" s="23">
        <f t="shared" si="2"/>
        <v>1.1099999999999994</v>
      </c>
      <c r="N84" s="33" t="s">
        <v>129</v>
      </c>
      <c r="S84">
        <v>1.1099999999999994</v>
      </c>
      <c r="T84">
        <f t="shared" si="3"/>
        <v>8.6199999999999903</v>
      </c>
      <c r="U84">
        <v>63</v>
      </c>
      <c r="AE84">
        <v>28</v>
      </c>
      <c r="AF84">
        <v>8</v>
      </c>
      <c r="AI84">
        <f>22.44/100</f>
        <v>0.22440000000000002</v>
      </c>
      <c r="AJ84">
        <v>15</v>
      </c>
      <c r="AL84">
        <f>23.21/100</f>
        <v>0.2321</v>
      </c>
      <c r="AM84">
        <v>15</v>
      </c>
      <c r="AO84">
        <v>0.28000000000000003</v>
      </c>
      <c r="AP84">
        <v>8</v>
      </c>
    </row>
    <row r="85" spans="1:42" x14ac:dyDescent="0.25">
      <c r="A85" s="1">
        <v>243</v>
      </c>
      <c r="B85" s="2" t="s">
        <v>130</v>
      </c>
      <c r="C85" s="2" t="s">
        <v>103</v>
      </c>
      <c r="D85" s="2">
        <v>64</v>
      </c>
      <c r="E85" s="2">
        <v>7</v>
      </c>
      <c r="F85" s="2" t="s">
        <v>84</v>
      </c>
      <c r="H85" s="4">
        <v>100.6</v>
      </c>
      <c r="I85" s="25">
        <v>101.72</v>
      </c>
      <c r="L85" s="23">
        <f t="shared" si="2"/>
        <v>1.1200000000000045</v>
      </c>
      <c r="N85" s="33" t="s">
        <v>100</v>
      </c>
      <c r="S85">
        <v>1.1200000000000001</v>
      </c>
      <c r="T85">
        <f t="shared" si="3"/>
        <v>9.7399999999999913</v>
      </c>
      <c r="U85">
        <v>127</v>
      </c>
      <c r="AE85">
        <v>33</v>
      </c>
      <c r="AF85">
        <v>16</v>
      </c>
      <c r="AI85">
        <f>35/100</f>
        <v>0.35</v>
      </c>
      <c r="AJ85">
        <v>31</v>
      </c>
      <c r="AL85">
        <f>42.6/100</f>
        <v>0.42599999999999999</v>
      </c>
      <c r="AM85">
        <v>31</v>
      </c>
      <c r="AO85">
        <v>0.33</v>
      </c>
      <c r="AP85">
        <v>16</v>
      </c>
    </row>
    <row r="86" spans="1:42" x14ac:dyDescent="0.25">
      <c r="A86" s="1">
        <v>276</v>
      </c>
      <c r="B86" s="2" t="s">
        <v>130</v>
      </c>
      <c r="C86" s="2" t="s">
        <v>131</v>
      </c>
      <c r="D86" s="2">
        <v>32</v>
      </c>
      <c r="E86" s="2">
        <v>7</v>
      </c>
      <c r="F86" s="2" t="s">
        <v>84</v>
      </c>
      <c r="H86" s="38">
        <v>99.91</v>
      </c>
      <c r="I86" s="35">
        <v>100.19</v>
      </c>
      <c r="L86" s="23">
        <f>+I86-H86</f>
        <v>0.28000000000000114</v>
      </c>
      <c r="N86" s="33" t="s">
        <v>138</v>
      </c>
      <c r="S86">
        <v>0.28000000000000003</v>
      </c>
      <c r="T86">
        <f t="shared" si="3"/>
        <v>10.019999999999991</v>
      </c>
      <c r="U86">
        <v>159</v>
      </c>
      <c r="AE86">
        <v>41</v>
      </c>
      <c r="AF86">
        <v>32</v>
      </c>
      <c r="AI86">
        <f>52.22/100</f>
        <v>0.5222</v>
      </c>
      <c r="AJ86">
        <v>63</v>
      </c>
      <c r="AL86">
        <f>75.63/100</f>
        <v>0.75629999999999997</v>
      </c>
      <c r="AM86">
        <v>63</v>
      </c>
      <c r="AO86">
        <v>0.41</v>
      </c>
      <c r="AP86">
        <v>32</v>
      </c>
    </row>
    <row r="87" spans="1:42" x14ac:dyDescent="0.25">
      <c r="A87" s="1">
        <v>277</v>
      </c>
      <c r="B87" s="2" t="s">
        <v>130</v>
      </c>
      <c r="D87" s="2">
        <v>32</v>
      </c>
      <c r="E87" s="2">
        <v>7</v>
      </c>
      <c r="F87" s="2" t="s">
        <v>84</v>
      </c>
      <c r="H87" s="4">
        <v>91.26</v>
      </c>
      <c r="I87" s="25">
        <v>93.2</v>
      </c>
      <c r="J87" s="39"/>
      <c r="L87" s="23">
        <f>+I87-H87</f>
        <v>1.9399999999999977</v>
      </c>
      <c r="N87" s="33" t="s">
        <v>139</v>
      </c>
      <c r="S87">
        <v>1.94</v>
      </c>
      <c r="T87">
        <f t="shared" ref="T87" si="4">+T86+S87</f>
        <v>11.95999999999999</v>
      </c>
      <c r="U87">
        <v>191</v>
      </c>
      <c r="AE87">
        <v>42</v>
      </c>
      <c r="AF87">
        <v>48</v>
      </c>
      <c r="AO87">
        <v>0.42</v>
      </c>
      <c r="AP87">
        <v>48</v>
      </c>
    </row>
    <row r="88" spans="1:42" x14ac:dyDescent="0.25">
      <c r="C88" s="17" t="s">
        <v>7</v>
      </c>
      <c r="D88" s="37">
        <f>SUM(D79:D87)</f>
        <v>191</v>
      </c>
      <c r="K88" s="15" t="s">
        <v>7</v>
      </c>
      <c r="M88" s="24">
        <f>SUM(L79:L87)</f>
        <v>11.959999999999994</v>
      </c>
      <c r="S88" s="36"/>
      <c r="T88" s="36"/>
      <c r="U88" s="36"/>
      <c r="AE88">
        <v>48</v>
      </c>
      <c r="AF88">
        <v>72</v>
      </c>
      <c r="AO88">
        <v>0.48</v>
      </c>
      <c r="AP88">
        <v>72</v>
      </c>
    </row>
    <row r="89" spans="1:42" x14ac:dyDescent="0.25">
      <c r="L89" s="35"/>
      <c r="N89" s="33"/>
    </row>
    <row r="90" spans="1:42" x14ac:dyDescent="0.25">
      <c r="A90" s="1">
        <v>244</v>
      </c>
      <c r="B90" s="2" t="s">
        <v>104</v>
      </c>
      <c r="C90" s="2" t="s">
        <v>105</v>
      </c>
      <c r="D90" s="2">
        <v>1</v>
      </c>
      <c r="E90" s="2">
        <v>11</v>
      </c>
      <c r="F90" s="2" t="s">
        <v>84</v>
      </c>
      <c r="H90" s="4">
        <v>100.18</v>
      </c>
      <c r="I90" s="25">
        <v>102.22</v>
      </c>
      <c r="L90" s="35">
        <f t="shared" ref="L90:L95" si="5">+I90-H90</f>
        <v>2.039999999999992</v>
      </c>
      <c r="N90" s="33" t="s">
        <v>120</v>
      </c>
      <c r="S90" s="36" t="s">
        <v>101</v>
      </c>
      <c r="T90" s="36" t="s">
        <v>101</v>
      </c>
      <c r="U90" s="36" t="s">
        <v>102</v>
      </c>
    </row>
    <row r="91" spans="1:42" x14ac:dyDescent="0.25">
      <c r="A91" s="1">
        <v>245</v>
      </c>
      <c r="B91" s="2" t="s">
        <v>104</v>
      </c>
      <c r="C91" s="2" t="s">
        <v>105</v>
      </c>
      <c r="D91" s="2">
        <v>2</v>
      </c>
      <c r="E91" s="2">
        <v>11</v>
      </c>
      <c r="F91" s="2" t="s">
        <v>84</v>
      </c>
      <c r="H91" s="4">
        <v>102.18</v>
      </c>
      <c r="I91" s="25">
        <v>106.72</v>
      </c>
      <c r="L91" s="35">
        <f t="shared" si="5"/>
        <v>4.539999999999992</v>
      </c>
      <c r="N91" s="33" t="s">
        <v>110</v>
      </c>
      <c r="S91">
        <v>2.039999999999992</v>
      </c>
      <c r="T91">
        <f>+S91</f>
        <v>2.039999999999992</v>
      </c>
      <c r="U91">
        <v>1</v>
      </c>
    </row>
    <row r="92" spans="1:42" x14ac:dyDescent="0.25">
      <c r="A92" s="1">
        <v>246</v>
      </c>
      <c r="B92" s="2" t="s">
        <v>104</v>
      </c>
      <c r="C92" s="2" t="s">
        <v>106</v>
      </c>
      <c r="D92" s="2">
        <v>4</v>
      </c>
      <c r="E92" s="2">
        <v>11</v>
      </c>
      <c r="F92" s="2" t="s">
        <v>84</v>
      </c>
      <c r="H92" s="4">
        <v>100.37</v>
      </c>
      <c r="I92" s="25">
        <v>107.2</v>
      </c>
      <c r="L92" s="35">
        <f t="shared" si="5"/>
        <v>6.8299999999999983</v>
      </c>
      <c r="N92" s="33" t="s">
        <v>112</v>
      </c>
      <c r="S92">
        <v>4.539999999999992</v>
      </c>
      <c r="T92">
        <f>+T91+S92</f>
        <v>6.5799999999999841</v>
      </c>
      <c r="U92">
        <v>3</v>
      </c>
    </row>
    <row r="93" spans="1:42" x14ac:dyDescent="0.25">
      <c r="A93" s="1">
        <v>247</v>
      </c>
      <c r="B93" s="2" t="s">
        <v>104</v>
      </c>
      <c r="C93" s="2" t="s">
        <v>107</v>
      </c>
      <c r="D93" s="2">
        <v>8</v>
      </c>
      <c r="E93" s="2">
        <v>11</v>
      </c>
      <c r="F93" s="2" t="s">
        <v>84</v>
      </c>
      <c r="H93" s="4">
        <v>103.99</v>
      </c>
      <c r="I93" s="25">
        <v>113.79</v>
      </c>
      <c r="L93" s="35">
        <f t="shared" si="5"/>
        <v>9.8000000000000114</v>
      </c>
      <c r="N93" s="33" t="s">
        <v>111</v>
      </c>
      <c r="S93">
        <v>6.8299999999999983</v>
      </c>
      <c r="T93">
        <f>+T92+S93</f>
        <v>13.409999999999982</v>
      </c>
      <c r="U93">
        <v>7</v>
      </c>
    </row>
    <row r="94" spans="1:42" x14ac:dyDescent="0.25">
      <c r="A94" s="1">
        <v>248</v>
      </c>
      <c r="B94" s="2" t="s">
        <v>104</v>
      </c>
      <c r="C94" s="2" t="s">
        <v>108</v>
      </c>
      <c r="D94" s="2">
        <v>16</v>
      </c>
      <c r="E94" s="2">
        <v>11</v>
      </c>
      <c r="F94" s="2" t="s">
        <v>84</v>
      </c>
      <c r="H94" s="4">
        <v>103.53</v>
      </c>
      <c r="I94" s="25">
        <v>122.92</v>
      </c>
      <c r="L94" s="35">
        <f t="shared" si="5"/>
        <v>19.39</v>
      </c>
      <c r="N94" s="33" t="s">
        <v>113</v>
      </c>
      <c r="S94">
        <v>9.8000000000000114</v>
      </c>
      <c r="T94">
        <f>+T93+S94</f>
        <v>23.209999999999994</v>
      </c>
      <c r="U94">
        <v>15</v>
      </c>
    </row>
    <row r="95" spans="1:42" x14ac:dyDescent="0.25">
      <c r="A95" s="1">
        <v>249</v>
      </c>
      <c r="B95" s="2" t="s">
        <v>104</v>
      </c>
      <c r="C95" s="2" t="s">
        <v>109</v>
      </c>
      <c r="D95" s="2">
        <v>32</v>
      </c>
      <c r="E95" s="2">
        <v>11</v>
      </c>
      <c r="F95" s="2" t="s">
        <v>84</v>
      </c>
      <c r="G95" s="5">
        <v>9.6199999999999992</v>
      </c>
      <c r="H95" s="4">
        <v>94.52</v>
      </c>
      <c r="I95" s="25">
        <v>127.55</v>
      </c>
      <c r="L95" s="35">
        <f t="shared" si="5"/>
        <v>33.03</v>
      </c>
      <c r="N95" s="33" t="s">
        <v>114</v>
      </c>
      <c r="S95">
        <v>19.39</v>
      </c>
      <c r="T95">
        <f>+T94+S95</f>
        <v>42.599999999999994</v>
      </c>
      <c r="U95">
        <v>31</v>
      </c>
    </row>
    <row r="96" spans="1:42" x14ac:dyDescent="0.25">
      <c r="C96" s="17" t="s">
        <v>7</v>
      </c>
      <c r="D96" s="37">
        <f>SUM(D90:D95)</f>
        <v>63</v>
      </c>
      <c r="K96" s="15" t="s">
        <v>7</v>
      </c>
      <c r="M96" s="24">
        <f>SUM(L90:L95)</f>
        <v>75.63</v>
      </c>
      <c r="S96">
        <v>33.03</v>
      </c>
      <c r="T96">
        <f>+T95+S96</f>
        <v>75.63</v>
      </c>
      <c r="U96">
        <v>63</v>
      </c>
    </row>
    <row r="97" spans="1:21" x14ac:dyDescent="0.25">
      <c r="A97" s="1">
        <v>250</v>
      </c>
      <c r="B97" s="2" t="s">
        <v>26</v>
      </c>
      <c r="C97" s="2" t="s">
        <v>115</v>
      </c>
      <c r="D97" s="2">
        <v>1</v>
      </c>
      <c r="E97" s="2">
        <v>7</v>
      </c>
      <c r="F97" s="2" t="s">
        <v>84</v>
      </c>
      <c r="H97" s="4">
        <v>92.65</v>
      </c>
      <c r="I97" s="25">
        <v>95.97</v>
      </c>
      <c r="L97" s="35">
        <f t="shared" ref="L97:L102" si="6">+I97-H97</f>
        <v>3.3199999999999932</v>
      </c>
      <c r="N97" s="33" t="s">
        <v>121</v>
      </c>
      <c r="S97" s="36" t="s">
        <v>101</v>
      </c>
      <c r="T97" s="36" t="s">
        <v>101</v>
      </c>
      <c r="U97" s="36" t="s">
        <v>102</v>
      </c>
    </row>
    <row r="98" spans="1:21" x14ac:dyDescent="0.25">
      <c r="A98" s="1">
        <v>251</v>
      </c>
      <c r="B98" s="2" t="s">
        <v>26</v>
      </c>
      <c r="C98" s="2" t="s">
        <v>115</v>
      </c>
      <c r="D98" s="2">
        <v>2</v>
      </c>
      <c r="E98" s="2">
        <v>7</v>
      </c>
      <c r="F98" s="2" t="s">
        <v>84</v>
      </c>
      <c r="H98" s="4">
        <v>98.19</v>
      </c>
      <c r="I98" s="25">
        <v>102.91</v>
      </c>
      <c r="L98" s="35">
        <f t="shared" si="6"/>
        <v>4.7199999999999989</v>
      </c>
      <c r="N98" s="33" t="s">
        <v>121</v>
      </c>
      <c r="S98">
        <v>3.3199999999999932</v>
      </c>
      <c r="T98">
        <f>+S98</f>
        <v>3.3199999999999932</v>
      </c>
      <c r="U98">
        <v>1</v>
      </c>
    </row>
    <row r="99" spans="1:21" x14ac:dyDescent="0.25">
      <c r="A99" s="1">
        <v>252</v>
      </c>
      <c r="B99" s="2" t="s">
        <v>26</v>
      </c>
      <c r="C99" s="2" t="s">
        <v>116</v>
      </c>
      <c r="D99" s="2">
        <v>4</v>
      </c>
      <c r="E99" s="2">
        <v>7</v>
      </c>
      <c r="F99" s="2" t="s">
        <v>84</v>
      </c>
      <c r="H99" s="4">
        <v>104.11</v>
      </c>
      <c r="I99" s="25">
        <v>110.43</v>
      </c>
      <c r="L99" s="35">
        <f t="shared" si="6"/>
        <v>6.3200000000000074</v>
      </c>
      <c r="N99" s="33" t="s">
        <v>121</v>
      </c>
      <c r="S99">
        <v>4.7199999999999989</v>
      </c>
      <c r="T99">
        <f>+T98+S99</f>
        <v>8.039999999999992</v>
      </c>
      <c r="U99">
        <v>3</v>
      </c>
    </row>
    <row r="100" spans="1:21" x14ac:dyDescent="0.25">
      <c r="A100" s="1">
        <v>253</v>
      </c>
      <c r="B100" s="2" t="s">
        <v>26</v>
      </c>
      <c r="C100" s="2" t="s">
        <v>117</v>
      </c>
      <c r="D100" s="2">
        <v>8</v>
      </c>
      <c r="E100" s="2">
        <v>7</v>
      </c>
      <c r="F100" s="2" t="s">
        <v>84</v>
      </c>
      <c r="H100" s="4">
        <v>98.78</v>
      </c>
      <c r="I100" s="25">
        <v>106.86</v>
      </c>
      <c r="L100" s="35">
        <f t="shared" si="6"/>
        <v>8.0799999999999983</v>
      </c>
      <c r="N100" s="33" t="s">
        <v>122</v>
      </c>
      <c r="S100">
        <v>6.3200000000000074</v>
      </c>
      <c r="T100">
        <f>+T99+S100</f>
        <v>14.36</v>
      </c>
      <c r="U100">
        <v>7</v>
      </c>
    </row>
    <row r="101" spans="1:21" x14ac:dyDescent="0.25">
      <c r="A101" s="1">
        <v>254</v>
      </c>
      <c r="B101" s="2" t="s">
        <v>26</v>
      </c>
      <c r="C101" s="2" t="s">
        <v>119</v>
      </c>
      <c r="D101" s="2">
        <v>16</v>
      </c>
      <c r="E101" s="2">
        <v>7</v>
      </c>
      <c r="F101" s="2" t="s">
        <v>84</v>
      </c>
      <c r="H101" s="4">
        <v>93.2</v>
      </c>
      <c r="I101" s="25">
        <v>105.76</v>
      </c>
      <c r="L101" s="35">
        <f t="shared" si="6"/>
        <v>12.560000000000002</v>
      </c>
      <c r="N101" s="33" t="s">
        <v>124</v>
      </c>
      <c r="S101">
        <v>8.0799999999999983</v>
      </c>
      <c r="T101">
        <f>+T100+S101</f>
        <v>22.439999999999998</v>
      </c>
      <c r="U101">
        <v>15</v>
      </c>
    </row>
    <row r="102" spans="1:21" x14ac:dyDescent="0.25">
      <c r="A102" s="1">
        <v>255</v>
      </c>
      <c r="B102" s="2" t="s">
        <v>26</v>
      </c>
      <c r="C102" s="2" t="s">
        <v>118</v>
      </c>
      <c r="D102" s="2">
        <v>32</v>
      </c>
      <c r="E102" s="2">
        <v>7</v>
      </c>
      <c r="F102" s="2" t="s">
        <v>84</v>
      </c>
      <c r="G102" s="5">
        <v>9.42</v>
      </c>
      <c r="H102" s="4">
        <v>98.02</v>
      </c>
      <c r="I102" s="25">
        <v>115.24</v>
      </c>
      <c r="L102" s="35">
        <f t="shared" si="6"/>
        <v>17.22</v>
      </c>
      <c r="N102" s="33" t="s">
        <v>123</v>
      </c>
      <c r="S102">
        <v>12.560000000000002</v>
      </c>
      <c r="T102">
        <f>+T101+S102</f>
        <v>35</v>
      </c>
      <c r="U102">
        <v>31</v>
      </c>
    </row>
    <row r="103" spans="1:21" x14ac:dyDescent="0.25">
      <c r="C103" s="17" t="s">
        <v>7</v>
      </c>
      <c r="D103" s="37">
        <f>SUM(D97:D102)</f>
        <v>63</v>
      </c>
      <c r="K103" s="15" t="s">
        <v>7</v>
      </c>
      <c r="M103" s="24">
        <f>SUM(L97:L102)</f>
        <v>52.22</v>
      </c>
      <c r="S103">
        <v>17.22</v>
      </c>
      <c r="T103">
        <f>+T102+S103</f>
        <v>52.22</v>
      </c>
      <c r="U103">
        <v>63</v>
      </c>
    </row>
    <row r="105" spans="1:21" x14ac:dyDescent="0.25">
      <c r="A105" s="1">
        <v>279</v>
      </c>
      <c r="B105" s="2" t="s">
        <v>157</v>
      </c>
      <c r="C105" s="2" t="s">
        <v>147</v>
      </c>
      <c r="D105" s="2">
        <v>1</v>
      </c>
      <c r="E105" s="18" t="s">
        <v>156</v>
      </c>
      <c r="F105" s="2" t="s">
        <v>155</v>
      </c>
      <c r="H105" s="4">
        <v>93.71</v>
      </c>
      <c r="I105" s="25">
        <v>708.72</v>
      </c>
      <c r="K105" s="15" t="s">
        <v>7</v>
      </c>
      <c r="M105" s="24">
        <f>+I105-H105</f>
        <v>615.01</v>
      </c>
      <c r="N105" s="33" t="s">
        <v>128</v>
      </c>
    </row>
    <row r="107" spans="1:21" x14ac:dyDescent="0.25">
      <c r="A107" s="1">
        <v>280</v>
      </c>
      <c r="B107" s="2" t="s">
        <v>157</v>
      </c>
      <c r="C107" s="2" t="s">
        <v>147</v>
      </c>
      <c r="D107" s="2">
        <v>2</v>
      </c>
      <c r="E107" s="18" t="s">
        <v>156</v>
      </c>
      <c r="F107" s="2" t="s">
        <v>155</v>
      </c>
      <c r="H107" s="4">
        <v>92.33</v>
      </c>
      <c r="I107" s="25">
        <v>556.70000000000005</v>
      </c>
      <c r="K107" s="15" t="s">
        <v>7</v>
      </c>
      <c r="M107" s="24">
        <f>+I107-H107</f>
        <v>464.37000000000006</v>
      </c>
      <c r="N107" s="33" t="s">
        <v>140</v>
      </c>
      <c r="Q107" s="2" t="s">
        <v>132</v>
      </c>
      <c r="R107" s="2" t="s">
        <v>133</v>
      </c>
    </row>
    <row r="108" spans="1:21" x14ac:dyDescent="0.25">
      <c r="Q108" s="2" t="s">
        <v>6</v>
      </c>
      <c r="R108" s="33" t="s">
        <v>134</v>
      </c>
    </row>
    <row r="109" spans="1:21" x14ac:dyDescent="0.25">
      <c r="A109" s="1">
        <v>281</v>
      </c>
      <c r="B109" s="2" t="s">
        <v>157</v>
      </c>
      <c r="C109" s="2" t="s">
        <v>148</v>
      </c>
      <c r="D109" s="2">
        <v>4</v>
      </c>
      <c r="E109" s="18" t="s">
        <v>156</v>
      </c>
      <c r="F109" s="2" t="s">
        <v>155</v>
      </c>
      <c r="H109" s="4">
        <v>97.57</v>
      </c>
      <c r="I109" s="25">
        <v>711.29</v>
      </c>
      <c r="K109" s="15" t="s">
        <v>7</v>
      </c>
      <c r="M109" s="24">
        <f>+I109-H109</f>
        <v>613.72</v>
      </c>
      <c r="N109" s="33" t="s">
        <v>141</v>
      </c>
      <c r="P109">
        <v>1</v>
      </c>
      <c r="Q109" s="2">
        <v>1</v>
      </c>
      <c r="R109" s="2">
        <v>0.15043561724746693</v>
      </c>
    </row>
    <row r="110" spans="1:21" x14ac:dyDescent="0.25">
      <c r="P110" s="1">
        <f>2-1</f>
        <v>1</v>
      </c>
      <c r="Q110" s="2">
        <v>2</v>
      </c>
      <c r="R110" s="2">
        <v>0.62943000590665033</v>
      </c>
    </row>
    <row r="111" spans="1:21" x14ac:dyDescent="0.25">
      <c r="A111" s="1">
        <v>282</v>
      </c>
      <c r="B111" s="2" t="s">
        <v>157</v>
      </c>
      <c r="C111" s="2" t="s">
        <v>149</v>
      </c>
      <c r="D111" s="2">
        <v>8</v>
      </c>
      <c r="E111" s="18" t="s">
        <v>156</v>
      </c>
      <c r="F111" s="2" t="s">
        <v>155</v>
      </c>
      <c r="H111" s="4">
        <v>100.14</v>
      </c>
      <c r="I111" s="25">
        <v>870.24</v>
      </c>
      <c r="K111" s="15" t="s">
        <v>7</v>
      </c>
      <c r="M111" s="24">
        <f>+I111-H111</f>
        <v>770.1</v>
      </c>
      <c r="N111" s="33" t="s">
        <v>142</v>
      </c>
      <c r="P111" s="1">
        <f>4-2</f>
        <v>2</v>
      </c>
      <c r="Q111" s="2">
        <v>4</v>
      </c>
      <c r="R111" s="2">
        <v>1.4526727702303193</v>
      </c>
    </row>
    <row r="112" spans="1:21" x14ac:dyDescent="0.25">
      <c r="P112" s="1">
        <f>8-4</f>
        <v>4</v>
      </c>
      <c r="Q112" s="2">
        <v>8</v>
      </c>
      <c r="R112" s="2">
        <v>1.7636961015947903</v>
      </c>
    </row>
    <row r="113" spans="1:38" x14ac:dyDescent="0.25">
      <c r="A113" s="1">
        <v>283</v>
      </c>
      <c r="B113" s="2" t="s">
        <v>157</v>
      </c>
      <c r="C113" s="2" t="s">
        <v>150</v>
      </c>
      <c r="D113" s="2">
        <v>16</v>
      </c>
      <c r="E113" s="18" t="s">
        <v>156</v>
      </c>
      <c r="F113" s="2" t="s">
        <v>155</v>
      </c>
      <c r="H113" s="4">
        <v>94.52</v>
      </c>
      <c r="I113" s="25">
        <v>901.1</v>
      </c>
      <c r="K113" s="15" t="s">
        <v>7</v>
      </c>
      <c r="M113" s="24">
        <f>+I113-H113</f>
        <v>806.58</v>
      </c>
      <c r="N113" s="33"/>
      <c r="P113" s="1">
        <f>16-8</f>
        <v>8</v>
      </c>
      <c r="Q113" s="2">
        <v>16</v>
      </c>
      <c r="R113" s="2">
        <v>2.0055005906674364</v>
      </c>
    </row>
    <row r="114" spans="1:38" x14ac:dyDescent="0.25">
      <c r="P114" s="1">
        <f>32-16</f>
        <v>16</v>
      </c>
      <c r="Q114" s="2">
        <v>32</v>
      </c>
      <c r="R114" s="2">
        <v>2.1393236857648796</v>
      </c>
    </row>
    <row r="115" spans="1:38" x14ac:dyDescent="0.25">
      <c r="A115" s="1">
        <v>284</v>
      </c>
      <c r="B115" s="2" t="s">
        <v>157</v>
      </c>
      <c r="C115" s="2" t="s">
        <v>151</v>
      </c>
      <c r="D115" s="2">
        <v>16</v>
      </c>
      <c r="E115" s="18" t="s">
        <v>156</v>
      </c>
      <c r="F115" s="2" t="s">
        <v>155</v>
      </c>
      <c r="H115" s="4">
        <v>91.12</v>
      </c>
      <c r="I115" s="25">
        <v>391.21</v>
      </c>
      <c r="K115" s="15" t="s">
        <v>7</v>
      </c>
      <c r="M115" s="24">
        <f>+I115-H115</f>
        <v>300.08999999999997</v>
      </c>
      <c r="N115" s="33" t="s">
        <v>143</v>
      </c>
      <c r="P115" s="1">
        <f>48-32</f>
        <v>16</v>
      </c>
      <c r="Q115" s="2">
        <v>48</v>
      </c>
      <c r="R115" s="2">
        <v>2.1946987595983134</v>
      </c>
    </row>
    <row r="116" spans="1:38" x14ac:dyDescent="0.25">
      <c r="P116" s="1">
        <f>72-48</f>
        <v>24</v>
      </c>
      <c r="Q116" s="2">
        <v>72</v>
      </c>
      <c r="R116" s="2">
        <v>2.2565342587122994</v>
      </c>
    </row>
    <row r="117" spans="1:38" x14ac:dyDescent="0.25">
      <c r="A117" s="1">
        <v>285</v>
      </c>
      <c r="B117" s="2" t="s">
        <v>157</v>
      </c>
      <c r="C117" s="2" t="s">
        <v>152</v>
      </c>
      <c r="D117" s="2">
        <v>24</v>
      </c>
      <c r="E117" s="18" t="s">
        <v>156</v>
      </c>
      <c r="F117" s="2" t="s">
        <v>155</v>
      </c>
      <c r="H117" s="4">
        <v>92.6</v>
      </c>
      <c r="I117" s="25">
        <v>453.8</v>
      </c>
      <c r="K117" s="15" t="s">
        <v>7</v>
      </c>
      <c r="M117" s="24">
        <f>+I117-H117</f>
        <v>361.20000000000005</v>
      </c>
      <c r="N117" s="33" t="s">
        <v>144</v>
      </c>
      <c r="P117" s="1">
        <f>96-72</f>
        <v>24</v>
      </c>
      <c r="Q117" s="2">
        <v>96</v>
      </c>
      <c r="R117" s="2">
        <v>2.2703780271706577</v>
      </c>
    </row>
    <row r="118" spans="1:38" x14ac:dyDescent="0.25">
      <c r="P118" s="1">
        <f>120-96</f>
        <v>24</v>
      </c>
      <c r="Q118" s="2">
        <v>120</v>
      </c>
      <c r="R118" s="2">
        <v>2.2952968103957097</v>
      </c>
    </row>
    <row r="119" spans="1:38" x14ac:dyDescent="0.25">
      <c r="A119" s="1">
        <v>286</v>
      </c>
      <c r="B119" s="2" t="s">
        <v>157</v>
      </c>
      <c r="C119" s="2" t="s">
        <v>153</v>
      </c>
      <c r="D119" s="2">
        <v>24</v>
      </c>
      <c r="E119" s="18" t="s">
        <v>156</v>
      </c>
      <c r="F119" s="2" t="s">
        <v>155</v>
      </c>
      <c r="H119" s="4">
        <v>94.24</v>
      </c>
      <c r="I119" s="25">
        <v>419.98</v>
      </c>
      <c r="K119" s="15" t="s">
        <v>7</v>
      </c>
      <c r="M119" s="24">
        <f>+I119-H119</f>
        <v>325.74</v>
      </c>
      <c r="N119" s="33" t="s">
        <v>145</v>
      </c>
      <c r="P119" s="36">
        <f>SUM(P109:P118)</f>
        <v>120</v>
      </c>
    </row>
    <row r="120" spans="1:38" x14ac:dyDescent="0.25">
      <c r="AK120" s="2" t="s">
        <v>132</v>
      </c>
      <c r="AL120" s="2" t="s">
        <v>133</v>
      </c>
    </row>
    <row r="121" spans="1:38" x14ac:dyDescent="0.25">
      <c r="A121" s="1">
        <v>287</v>
      </c>
      <c r="B121" s="2" t="s">
        <v>157</v>
      </c>
      <c r="C121" s="2" t="s">
        <v>154</v>
      </c>
      <c r="D121" s="2">
        <v>24</v>
      </c>
      <c r="E121" s="18" t="s">
        <v>156</v>
      </c>
      <c r="F121" s="2" t="s">
        <v>155</v>
      </c>
      <c r="G121" s="45">
        <v>3.99953</v>
      </c>
      <c r="H121" s="4">
        <v>99.03</v>
      </c>
      <c r="I121" s="25">
        <v>262.82</v>
      </c>
      <c r="K121" s="15" t="s">
        <v>7</v>
      </c>
      <c r="M121" s="24">
        <f>+I121-H121</f>
        <v>163.79</v>
      </c>
      <c r="N121" s="33" t="s">
        <v>146</v>
      </c>
      <c r="AK121" s="2" t="s">
        <v>6</v>
      </c>
      <c r="AL121" s="33" t="s">
        <v>161</v>
      </c>
    </row>
    <row r="122" spans="1:38" x14ac:dyDescent="0.25">
      <c r="P122" s="2" t="s">
        <v>132</v>
      </c>
      <c r="Q122" s="2" t="s">
        <v>133</v>
      </c>
      <c r="AL122" s="2" t="s">
        <v>101</v>
      </c>
    </row>
    <row r="123" spans="1:38" x14ac:dyDescent="0.25">
      <c r="L123" s="20" t="s">
        <v>137</v>
      </c>
      <c r="M123" s="20">
        <f>SUM(M105:M121)</f>
        <v>4420.6000000000004</v>
      </c>
      <c r="P123" s="2" t="s">
        <v>6</v>
      </c>
      <c r="Q123" s="33" t="s">
        <v>164</v>
      </c>
      <c r="AK123" s="2">
        <v>1</v>
      </c>
      <c r="AL123" s="2">
        <v>15</v>
      </c>
    </row>
    <row r="124" spans="1:38" x14ac:dyDescent="0.25">
      <c r="L124" s="20" t="s">
        <v>136</v>
      </c>
      <c r="M124" s="20">
        <v>3999.53</v>
      </c>
      <c r="N124" s="1"/>
      <c r="P124" s="2">
        <v>1</v>
      </c>
      <c r="Q124" s="2">
        <v>0.15</v>
      </c>
      <c r="AK124" s="2">
        <v>2</v>
      </c>
      <c r="AL124" s="2">
        <v>63</v>
      </c>
    </row>
    <row r="125" spans="1:38" x14ac:dyDescent="0.25">
      <c r="N125" s="1"/>
      <c r="P125" s="2">
        <v>2</v>
      </c>
      <c r="Q125" s="2">
        <v>0.63</v>
      </c>
      <c r="AK125" s="2">
        <v>4</v>
      </c>
      <c r="AL125" s="2">
        <v>145</v>
      </c>
    </row>
    <row r="126" spans="1:38" x14ac:dyDescent="0.25">
      <c r="L126" s="21" t="s">
        <v>102</v>
      </c>
      <c r="M126" s="20" t="s">
        <v>135</v>
      </c>
      <c r="N126" s="1"/>
      <c r="P126" s="2">
        <v>4</v>
      </c>
      <c r="Q126" s="2">
        <v>1.45</v>
      </c>
      <c r="AK126" s="2">
        <v>8</v>
      </c>
      <c r="AL126" s="2">
        <v>176</v>
      </c>
    </row>
    <row r="127" spans="1:38" x14ac:dyDescent="0.25">
      <c r="L127" s="2">
        <v>1</v>
      </c>
      <c r="M127">
        <f>+M105/10000*100</f>
        <v>6.1501000000000001</v>
      </c>
      <c r="N127" s="1"/>
      <c r="P127" s="2">
        <v>8</v>
      </c>
      <c r="Q127" s="2">
        <v>1.76</v>
      </c>
      <c r="AK127" s="2">
        <v>16</v>
      </c>
      <c r="AL127" s="2">
        <v>201</v>
      </c>
    </row>
    <row r="128" spans="1:38" x14ac:dyDescent="0.25">
      <c r="L128" s="2">
        <v>3</v>
      </c>
      <c r="M128">
        <f>+M107/10000*100+M127</f>
        <v>10.793800000000001</v>
      </c>
      <c r="N128" s="1"/>
      <c r="P128" s="2">
        <v>16</v>
      </c>
      <c r="Q128" s="2">
        <v>2.0099999999999998</v>
      </c>
      <c r="AK128" s="2">
        <v>32</v>
      </c>
      <c r="AL128" s="2">
        <v>214</v>
      </c>
    </row>
    <row r="129" spans="12:38" x14ac:dyDescent="0.25">
      <c r="L129" s="2">
        <v>7</v>
      </c>
      <c r="M129">
        <f>+M109/10000*100+M128</f>
        <v>16.931000000000001</v>
      </c>
      <c r="N129" s="1"/>
      <c r="P129" s="2">
        <v>32</v>
      </c>
      <c r="Q129" s="2">
        <v>2.14</v>
      </c>
      <c r="AK129" s="2">
        <v>48</v>
      </c>
      <c r="AL129" s="2">
        <v>219</v>
      </c>
    </row>
    <row r="130" spans="12:38" x14ac:dyDescent="0.25">
      <c r="L130" s="2">
        <v>15</v>
      </c>
      <c r="M130">
        <f>+M111/10000*100+M129</f>
        <v>24.632000000000001</v>
      </c>
      <c r="N130" s="1"/>
      <c r="P130" s="2">
        <v>48</v>
      </c>
      <c r="Q130" s="2">
        <v>2.19</v>
      </c>
      <c r="AK130" s="2">
        <v>72</v>
      </c>
      <c r="AL130" s="2">
        <v>226</v>
      </c>
    </row>
    <row r="131" spans="12:38" x14ac:dyDescent="0.25">
      <c r="L131" s="2">
        <v>31</v>
      </c>
      <c r="M131">
        <f>+M113/10000*100+M130</f>
        <v>32.697800000000001</v>
      </c>
      <c r="N131" s="1"/>
      <c r="P131" s="2">
        <v>72</v>
      </c>
      <c r="Q131" s="2">
        <v>2.2599999999999998</v>
      </c>
      <c r="AK131" s="2">
        <v>96</v>
      </c>
      <c r="AL131" s="2">
        <v>227</v>
      </c>
    </row>
    <row r="132" spans="12:38" x14ac:dyDescent="0.25">
      <c r="L132" s="2">
        <v>47</v>
      </c>
      <c r="M132">
        <f>+M115/10000*100+M131</f>
        <v>35.698700000000002</v>
      </c>
      <c r="N132" s="1"/>
      <c r="P132" s="2">
        <v>96</v>
      </c>
      <c r="Q132" s="2">
        <v>2.27</v>
      </c>
      <c r="AK132" s="2">
        <v>120</v>
      </c>
      <c r="AL132" s="42">
        <v>230</v>
      </c>
    </row>
    <row r="133" spans="12:38" x14ac:dyDescent="0.25">
      <c r="L133" s="2">
        <v>71</v>
      </c>
      <c r="M133">
        <f>+M117/10000*100+M132</f>
        <v>39.310700000000004</v>
      </c>
      <c r="N133" s="1"/>
      <c r="P133" s="2">
        <v>120</v>
      </c>
      <c r="Q133" s="42">
        <v>2.2999999999999998</v>
      </c>
    </row>
    <row r="134" spans="12:38" x14ac:dyDescent="0.25">
      <c r="L134" s="2">
        <v>95</v>
      </c>
      <c r="M134">
        <f>+M119/10000*100+M133</f>
        <v>42.568100000000001</v>
      </c>
      <c r="N134" s="41"/>
      <c r="R134" s="40"/>
    </row>
    <row r="135" spans="12:38" x14ac:dyDescent="0.25">
      <c r="L135" s="2">
        <v>119</v>
      </c>
      <c r="M135">
        <f>+M121/10000*100+M134</f>
        <v>44.206000000000003</v>
      </c>
      <c r="AK135" s="2" t="s">
        <v>132</v>
      </c>
      <c r="AL135" t="s">
        <v>162</v>
      </c>
    </row>
    <row r="136" spans="12:38" x14ac:dyDescent="0.25">
      <c r="AK136" s="2" t="s">
        <v>102</v>
      </c>
      <c r="AL136" s="2" t="s">
        <v>101</v>
      </c>
    </row>
    <row r="137" spans="12:38" x14ac:dyDescent="0.25">
      <c r="AK137" s="2">
        <v>1</v>
      </c>
      <c r="AL137" s="2">
        <v>615.01</v>
      </c>
    </row>
    <row r="138" spans="12:38" x14ac:dyDescent="0.25">
      <c r="AK138" s="2">
        <v>3</v>
      </c>
      <c r="AL138" s="2">
        <v>1079.3800000000001</v>
      </c>
    </row>
    <row r="139" spans="12:38" x14ac:dyDescent="0.25">
      <c r="AK139" s="2">
        <v>7</v>
      </c>
      <c r="AL139" s="2">
        <v>1693.1</v>
      </c>
    </row>
    <row r="140" spans="12:38" x14ac:dyDescent="0.25">
      <c r="AK140" s="2">
        <v>15</v>
      </c>
      <c r="AL140" s="2">
        <v>2463.1999999999998</v>
      </c>
    </row>
    <row r="141" spans="12:38" x14ac:dyDescent="0.25">
      <c r="AK141" s="2">
        <v>31</v>
      </c>
      <c r="AL141" s="2">
        <v>3269.78</v>
      </c>
    </row>
    <row r="142" spans="12:38" x14ac:dyDescent="0.25">
      <c r="AK142" s="2">
        <v>47</v>
      </c>
      <c r="AL142" s="2">
        <v>3569.87</v>
      </c>
    </row>
    <row r="143" spans="12:38" x14ac:dyDescent="0.25">
      <c r="AK143" s="2">
        <v>71</v>
      </c>
      <c r="AL143" s="2">
        <v>3931.07</v>
      </c>
    </row>
    <row r="144" spans="12:38" x14ac:dyDescent="0.25">
      <c r="AK144" s="2">
        <v>95</v>
      </c>
      <c r="AL144" s="2">
        <v>4256.8100000000004</v>
      </c>
    </row>
    <row r="145" spans="37:38" x14ac:dyDescent="0.25">
      <c r="AK145" s="2">
        <v>119</v>
      </c>
      <c r="AL145" s="2">
        <v>4420.6000000000004</v>
      </c>
    </row>
  </sheetData>
  <sortState ref="A4:J11">
    <sortCondition descending="1" ref="A4"/>
  </sortState>
  <mergeCells count="4">
    <mergeCell ref="AE79:AF79"/>
    <mergeCell ref="AO79:AP79"/>
    <mergeCell ref="AL79:AM79"/>
    <mergeCell ref="AI79:AJ79"/>
  </mergeCells>
  <pageMargins left="0.23622047244094491" right="0.23622047244094491" top="0.15748031496062992" bottom="0.15748031496062992" header="0.31496062992125984" footer="0.31496062992125984"/>
  <pageSetup paperSize="9" scale="41" fitToHeight="0" orientation="landscape" horizontalDpi="0" verticalDpi="0" r:id="rId1"/>
  <ignoredErrors>
    <ignoredError sqref="E10:E11 E23:E27 E62:E65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C15" sqref="C15"/>
    </sheetView>
  </sheetViews>
  <sheetFormatPr defaultRowHeight="15" x14ac:dyDescent="0.25"/>
  <cols>
    <col min="1" max="1" width="11.5703125" customWidth="1"/>
    <col min="2" max="2" width="20.42578125" style="2" customWidth="1"/>
    <col min="3" max="3" width="19" style="2" customWidth="1"/>
    <col min="4" max="4" width="9.140625" style="2"/>
    <col min="5" max="5" width="13.28515625" style="2" customWidth="1"/>
    <col min="6" max="6" width="9.140625" style="2"/>
    <col min="7" max="7" width="10.7109375" style="5" customWidth="1"/>
  </cols>
  <sheetData>
    <row r="1" spans="1:10" ht="18.75" x14ac:dyDescent="0.3">
      <c r="A1" s="28" t="s">
        <v>59</v>
      </c>
    </row>
    <row r="2" spans="1:10" x14ac:dyDescent="0.25">
      <c r="A2" s="26" t="s">
        <v>71</v>
      </c>
      <c r="B2" s="26" t="s">
        <v>4</v>
      </c>
      <c r="C2" s="26" t="s">
        <v>54</v>
      </c>
      <c r="D2" s="26" t="s">
        <v>55</v>
      </c>
      <c r="E2" s="26" t="s">
        <v>56</v>
      </c>
      <c r="F2" s="26" t="s">
        <v>57</v>
      </c>
      <c r="G2" s="27" t="s">
        <v>72</v>
      </c>
      <c r="H2" s="27" t="s">
        <v>58</v>
      </c>
    </row>
    <row r="3" spans="1:10" x14ac:dyDescent="0.25">
      <c r="A3" s="2" t="s">
        <v>69</v>
      </c>
    </row>
    <row r="4" spans="1:10" x14ac:dyDescent="0.25">
      <c r="A4" s="2">
        <v>207</v>
      </c>
      <c r="B4" s="2" t="s">
        <v>60</v>
      </c>
      <c r="C4" s="2">
        <v>53.62</v>
      </c>
      <c r="D4" s="2">
        <v>102.36</v>
      </c>
      <c r="E4" s="2">
        <v>118.05</v>
      </c>
      <c r="F4" s="2">
        <f>+E4-D4</f>
        <v>15.689999999999998</v>
      </c>
      <c r="G4" s="31">
        <f t="shared" ref="G4:G5" si="0">+(C4+D4)-E4</f>
        <v>37.929999999999993</v>
      </c>
      <c r="H4" s="5">
        <f>+(C4-F4)/C4*100</f>
        <v>70.738530399104818</v>
      </c>
    </row>
    <row r="5" spans="1:10" x14ac:dyDescent="0.25">
      <c r="A5" s="2">
        <v>208</v>
      </c>
      <c r="B5" s="2" t="s">
        <v>61</v>
      </c>
      <c r="C5" s="2">
        <v>33.99</v>
      </c>
      <c r="D5" s="2">
        <v>99.89</v>
      </c>
      <c r="E5" s="2">
        <v>103.13</v>
      </c>
      <c r="F5" s="2">
        <f>+E5-D5</f>
        <v>3.2399999999999949</v>
      </c>
      <c r="G5" s="31">
        <f t="shared" si="0"/>
        <v>30.75</v>
      </c>
      <c r="H5" s="5">
        <f>+(C5-F5)/C5*100</f>
        <v>90.467784642541943</v>
      </c>
    </row>
    <row r="6" spans="1:10" x14ac:dyDescent="0.25">
      <c r="A6" s="2" t="s">
        <v>70</v>
      </c>
      <c r="H6" s="5"/>
      <c r="I6" s="27"/>
    </row>
    <row r="7" spans="1:10" x14ac:dyDescent="0.25">
      <c r="A7" s="2" t="s">
        <v>74</v>
      </c>
      <c r="B7" s="2" t="s">
        <v>60</v>
      </c>
      <c r="C7" s="2">
        <v>25.63</v>
      </c>
      <c r="D7" s="2">
        <v>102.76</v>
      </c>
      <c r="E7" s="2">
        <v>121.47</v>
      </c>
      <c r="F7" s="2">
        <f>+E7-D7</f>
        <v>18.709999999999994</v>
      </c>
      <c r="G7" s="31">
        <f>+(C7+D7)-E7</f>
        <v>6.9200000000000159</v>
      </c>
      <c r="H7" s="5">
        <f>+(C7-F7)/C7*100</f>
        <v>26.999609832227879</v>
      </c>
      <c r="I7" s="4"/>
    </row>
    <row r="8" spans="1:10" x14ac:dyDescent="0.25">
      <c r="A8" s="2" t="s">
        <v>75</v>
      </c>
      <c r="B8" s="2" t="s">
        <v>61</v>
      </c>
      <c r="C8" s="2">
        <v>41.85</v>
      </c>
      <c r="D8" s="2">
        <v>102.31</v>
      </c>
      <c r="E8" s="2">
        <v>134.35</v>
      </c>
      <c r="F8" s="2">
        <f>+E8-D8</f>
        <v>32.039999999999992</v>
      </c>
      <c r="G8" s="31">
        <f>+(C8+D8)-E8</f>
        <v>9.8100000000000023</v>
      </c>
      <c r="H8" s="5">
        <f>+(C8-F8)/C8*100</f>
        <v>23.440860215053785</v>
      </c>
      <c r="I8" s="4"/>
      <c r="J8" s="25"/>
    </row>
    <row r="9" spans="1:10" x14ac:dyDescent="0.25">
      <c r="A9" s="2" t="s">
        <v>76</v>
      </c>
      <c r="B9" s="2" t="s">
        <v>68</v>
      </c>
      <c r="C9" s="2">
        <v>0</v>
      </c>
      <c r="D9" s="2">
        <v>101.01</v>
      </c>
      <c r="E9" s="2">
        <v>101.03</v>
      </c>
      <c r="F9" s="2">
        <f>+E9-D9</f>
        <v>1.9999999999996021E-2</v>
      </c>
      <c r="H9" s="30">
        <v>0</v>
      </c>
      <c r="J9" s="25"/>
    </row>
  </sheetData>
  <pageMargins left="0.7" right="0.7" top="0.75" bottom="0.75" header="0.3" footer="0.3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Dust expts</vt:lpstr>
      <vt:lpstr>Gypsum dissolution tests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Moller</dc:creator>
  <cp:lastModifiedBy>Torsten Moller</cp:lastModifiedBy>
  <cp:lastPrinted>2018-07-23T15:25:54Z</cp:lastPrinted>
  <dcterms:created xsi:type="dcterms:W3CDTF">2016-01-14T09:54:13Z</dcterms:created>
  <dcterms:modified xsi:type="dcterms:W3CDTF">2018-07-27T11:57:50Z</dcterms:modified>
</cp:coreProperties>
</file>